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5181C5B9-CADF-4D4D-8C57-24AA92C5176E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  <sheet name="Fronti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  <c r="B7" i="3" s="1"/>
  <c r="C29" i="2"/>
  <c r="C28" i="2"/>
  <c r="C30" i="2" s="1"/>
  <c r="C27" i="2"/>
  <c r="C21" i="2"/>
  <c r="C20" i="2"/>
  <c r="C19" i="2"/>
  <c r="C22" i="2" s="1"/>
  <c r="C23" i="2" s="1"/>
  <c r="C24" i="2" s="1"/>
  <c r="C18" i="2"/>
  <c r="C17" i="2"/>
  <c r="B8" i="3" l="1"/>
  <c r="C7" i="3"/>
  <c r="D7" i="3"/>
  <c r="C6" i="3"/>
  <c r="D6" i="3"/>
  <c r="C31" i="2"/>
  <c r="C32" i="2" s="1"/>
  <c r="C33" i="2" l="1"/>
  <c r="C34" i="2"/>
  <c r="E6" i="3"/>
  <c r="E7" i="3"/>
  <c r="D8" i="3"/>
  <c r="B9" i="3"/>
  <c r="C8" i="3"/>
  <c r="E8" i="3" l="1"/>
  <c r="C9" i="3"/>
  <c r="B10" i="3"/>
  <c r="D9" i="3"/>
  <c r="C35" i="2"/>
  <c r="E9" i="3" l="1"/>
  <c r="C10" i="3"/>
  <c r="B11" i="3"/>
  <c r="D10" i="3"/>
  <c r="E10" i="3" l="1"/>
  <c r="B12" i="3"/>
  <c r="D11" i="3"/>
  <c r="C11" i="3"/>
  <c r="E11" i="3" l="1"/>
  <c r="C12" i="3"/>
  <c r="B13" i="3"/>
  <c r="D12" i="3"/>
  <c r="C13" i="3" l="1"/>
  <c r="B14" i="3"/>
  <c r="D13" i="3"/>
  <c r="E12" i="3"/>
  <c r="B15" i="3" l="1"/>
  <c r="D14" i="3"/>
  <c r="C14" i="3"/>
  <c r="E13" i="3"/>
  <c r="E14" i="3" l="1"/>
  <c r="D15" i="3"/>
  <c r="C15" i="3"/>
  <c r="B16" i="3"/>
  <c r="D16" i="3" l="1"/>
  <c r="C16" i="3"/>
  <c r="E15" i="3"/>
  <c r="E16" i="3" l="1"/>
  <c r="E18" i="3" l="1"/>
  <c r="D18" i="3"/>
</calcChain>
</file>

<file path=xl/sharedStrings.xml><?xml version="1.0" encoding="utf-8"?>
<sst xmlns="http://schemas.openxmlformats.org/spreadsheetml/2006/main" count="142" uniqueCount="116">
  <si>
    <t>MPT — PORTOFOLIO 2 AKSET &amp; EFFICIENT FRONTIER (BBCA + SUN)</t>
  </si>
  <si>
    <t>Pertemuan 3 · Modern Portfolio Theory: E(Rp) = Sigma wi E(Ri); sigma_p^2 = Sigma Sigma wi wj sigma_ij</t>
  </si>
  <si>
    <t>RINGKASAN KONSEP</t>
  </si>
  <si>
    <t>Return portofolio LINIER terhadap bobot; risiko (varians) TIDAK linier — suku kovarians 2 wA wB rho sigmaA sigmaB adalah jantung diversifikasi.</t>
  </si>
  <si>
    <t>Korelasi negatif mengurangi varians: BBCA-SUN rho = -0,2 menurunkan risiko dari 20% (100% saham) ke 11,78% (60/40) dengan return 10%.</t>
  </si>
  <si>
    <t>Tangency portfolio memaksimalkan Sharpe S = (E(Rp) - Rf) / sigma_p — kandidat portofolio optimal sebelum campuran risk-free.</t>
  </si>
  <si>
    <t>Frontier 2 aset dipindai bobot 0-100% untuk menemukan Sharpe maksimum.</t>
  </si>
  <si>
    <t>CARA PAKAI WORKBOOK</t>
  </si>
  <si>
    <t>1. Ubah sel KUNING: E(R), sigma tiap aset, korelasi, bobot wA, dan risk-free.</t>
  </si>
  <si>
    <t>2. Blok A = HDN-1 slide: E(Rp) &amp; sigma_p untuk 60% BBCA + 40% SUN, suku demi suku.</t>
  </si>
  <si>
    <t>3. Blok B = HDN-2 slide: bobot tangency (Sharpe-optimal) dengan rumus closed-form.</t>
  </si>
  <si>
    <t>4. Sheet 'Frontier': tabel 11 bobot + grafik — temukan Sharpe maksimum.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</si>
  <si>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</si>
  <si>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</si>
  <si>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</si>
  <si>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</si>
  <si>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</si>
  <si>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</si>
  <si>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</si>
  <si>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</si>
  <si>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E(Rp) = 0,6x12% + 0,4x7% = 10%; sigma^2 = 144 + 10,24 - 15,36 = 138,88 -&gt; sigma_p = 11,78% (risiko turun ~41%).</t>
  </si>
  <si>
    <t>HDN-2: sigma_AB = -32; pembilang w(A) = 339,2. Slide menulis penyebut 441 -&gt; w(A) ~77%; cek presisi: penyebut benar 585,6 -&gt; w(A)* = 57,9% (E ~9,9%; sigma ~11,4%; S ~0,27).</t>
  </si>
  <si>
    <t>Insight: alokasi 60/40 ternyata hampir persis tangency (57,9/42,1) — Sharpe keduanya ~0,27.</t>
  </si>
  <si>
    <t>Worksheet menghitung rumus closed-form secara presisi; gunakan sebagai alat verifikasi angka slide.</t>
  </si>
  <si>
    <t>PORTOFOLIO 2 AKSET &amp; TANGENCY — LANGKAH DEMI LANGKAH</t>
  </si>
  <si>
    <t>E(R) &amp; sigma dalam POIN PERSEN (12 = 12%) · variance dalam %^2 · mirror HDN-1 &amp; HDN-2 Pertemuan 3</t>
  </si>
  <si>
    <t>Langkah / Variabel</t>
  </si>
  <si>
    <t>Nilai</t>
  </si>
  <si>
    <t>Satuan</t>
  </si>
  <si>
    <t>Rumus</t>
  </si>
  <si>
    <t>Catatan</t>
  </si>
  <si>
    <t>INPUT — UBAH SEL KUNING SAJA</t>
  </si>
  <si>
    <t>Aset A: E(R) saham BBCA</t>
  </si>
  <si>
    <t>%/thn</t>
  </si>
  <si>
    <t>INPUT</t>
  </si>
  <si>
    <t>Expected return</t>
  </si>
  <si>
    <t>Aset A: sigma saham BBCA</t>
  </si>
  <si>
    <t>Deviasi standar</t>
  </si>
  <si>
    <t>Aset B: E(R) obligasi SUN</t>
  </si>
  <si>
    <t>Aset B: sigma obligasi SUN</t>
  </si>
  <si>
    <t>Korelasi rho(A,B)</t>
  </si>
  <si>
    <t>—</t>
  </si>
  <si>
    <t>Historis BBCA vs SUN (slide: -0,2)</t>
  </si>
  <si>
    <t>Bobot w(A) saham</t>
  </si>
  <si>
    <t>% dari portofolio</t>
  </si>
  <si>
    <t>Slide HDN-1: 60%</t>
  </si>
  <si>
    <t>Risk-free Rf (SUN 10 thn)</t>
  </si>
  <si>
    <t>Dihedge inflasi (slide: 6,8%)</t>
  </si>
  <si>
    <t>BLOK A · HDN-1: RETURN &amp; RISIKO PORTOFOLIO 60/40 — LANGKAH 1-7</t>
  </si>
  <si>
    <t>1. Bobot w(B) obligasi</t>
  </si>
  <si>
    <t>% portofolio</t>
  </si>
  <si>
    <t>'= 1-C13</t>
  </si>
  <si>
    <t>w(A) + w(B) = 1 -&gt; 40%.</t>
  </si>
  <si>
    <t>2. E(Rp) = wA E(RA) + wB E(RB)</t>
  </si>
  <si>
    <t>'= C13*C8+(1-C13)*C10</t>
  </si>
  <si>
    <t>0,6x12 + 0,4x7 = 7,2 + 2,8 = 10%.</t>
  </si>
  <si>
    <t>3. Suku 1: wA^2 sigmaA^2</t>
  </si>
  <si>
    <t>%^2</t>
  </si>
  <si>
    <t>'= C13^2*C9^2</t>
  </si>
  <si>
    <t>0,36 x 400 = 144.</t>
  </si>
  <si>
    <t>4. Suku 2: wB^2 sigmaB^2</t>
  </si>
  <si>
    <t>'= (1-C13)^2*C11^2</t>
  </si>
  <si>
    <t>0,16 x 64 = 10,24.</t>
  </si>
  <si>
    <t>5. Suku 3: 2 wA wB rho sigmaA sigmaB</t>
  </si>
  <si>
    <t>'= 2*C13*(1-C13)*C12*C9*C11</t>
  </si>
  <si>
    <t>2x0,6x0,4x(-0,2)x20x8 = -15,36 — suku korelasi mengurangi varians.</t>
  </si>
  <si>
    <t>6. Varians portofolio sigma_p^2</t>
  </si>
  <si>
    <t>'= C19+C20+C21</t>
  </si>
  <si>
    <t>144 + 10,24 - 15,36 = 138,88.</t>
  </si>
  <si>
    <t>7. sigma_p = akar(varians)</t>
  </si>
  <si>
    <t>'= SQRT(C22)</t>
  </si>
  <si>
    <t>akar 138,88 = 11,78% — risiko turun dari 20% ke 11,78%.</t>
  </si>
  <si>
    <t>8. Reduksi risiko vs 100% saham</t>
  </si>
  <si>
    <t>%</t>
  </si>
  <si>
    <t>'= 1-C23/C9</t>
  </si>
  <si>
    <t>1 - 11,78/20 = 41,1% lebih rendah dengan return tetap 10%.</t>
  </si>
  <si>
    <t>BLOK B · HDN-2: TANGENCY PORTFOLIO (SHARPE OPTIMAL) — LANGKAH 1-7</t>
  </si>
  <si>
    <t>1. Kovarians sigma_AB = rho sigmaA sigmaB</t>
  </si>
  <si>
    <t>'= C12*C9*C11</t>
  </si>
  <si>
    <t>-0,2 x 20 x 8 = -32.</t>
  </si>
  <si>
    <t>2. Excess return A = E(RA) - Rf</t>
  </si>
  <si>
    <t>'= C8-C14</t>
  </si>
  <si>
    <t>12 - 6,8 = 5,2%.</t>
  </si>
  <si>
    <t>3. Excess return B = E(RB) - Rf</t>
  </si>
  <si>
    <t>'= C10-C14</t>
  </si>
  <si>
    <t>7 - 6,8 = 0,2%.</t>
  </si>
  <si>
    <t>4. Pembilang w(A)*</t>
  </si>
  <si>
    <t>'= C28*C11^2-C29*C27</t>
  </si>
  <si>
    <t>5,2x64 + 0,2x32 = 332,8 + 6,4 = 339,2 (sama dengan slide).</t>
  </si>
  <si>
    <t>5. Penyebut</t>
  </si>
  <si>
    <t>'= C28*C11^2+C29*C9^2-(C8+C10-2*C14)*C27</t>
  </si>
  <si>
    <t>332,8 + 80 + 172,8 = 585,6 — slide menulis 441 (selisih suku terakhir); lanjutkan dengan angka presisi.</t>
  </si>
  <si>
    <t>6. Bobot tangency w(A)*</t>
  </si>
  <si>
    <t>'= C30/C31</t>
  </si>
  <si>
    <t>339,2 / 585,6 = 57,9% (slide: ~77% dari penyebut 441 — verifikasi sendiri).</t>
  </si>
  <si>
    <t>7a. E(R) tangency</t>
  </si>
  <si>
    <t>'= C32*C8+(1-C32)*C10</t>
  </si>
  <si>
    <t>~9,9%.</t>
  </si>
  <si>
    <t>7b. sigma tangency</t>
  </si>
  <si>
    <t>SQRT(...)</t>
  </si>
  <si>
    <t>~11,4%.</t>
  </si>
  <si>
    <t>7c. Sharpe maksimum S*</t>
  </si>
  <si>
    <t>'= (C33-C14)/C34</t>
  </si>
  <si>
    <t>~0,27 — praktis sama dengan Sharpe 60/40 (0,27): alokasi klasik 60/40 sudah dekat optimal.</t>
  </si>
  <si>
    <t>Diskusi kelas: dengan parameter slide, 60/40 dan tangency 58/42 memiliki Sharpe nyaris identik (~0,27) — bandingkan di sheet 'Frontier'.</t>
  </si>
  <si>
    <t>EFFICIENT FRONTIER 2 AKSET — SCAN BOBOT 0% s.d. 100%</t>
  </si>
  <si>
    <t>Semua sel tabel = formula hidup yang merujuk input di sheet Kalkulasi.</t>
  </si>
  <si>
    <t>w(A) BBCA</t>
  </si>
  <si>
    <t>E(Rp)</t>
  </si>
  <si>
    <t>sigma_p</t>
  </si>
  <si>
    <t>Sharpe</t>
  </si>
  <si>
    <t>Keterangan</t>
  </si>
  <si>
    <t>100% SUN (min risiko)</t>
  </si>
  <si>
    <t>100% BBCA</t>
  </si>
  <si>
    <t>w(A) Sharpe maks:</t>
  </si>
  <si>
    <t>Grid 10% — presisi closed-form 57,9% (lihat Kalkulasi Blok B).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</si>
</sst>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&quot;%&quot;"/>
    <numFmt numFmtId="165" formatCode="0.0&quot;%&quot;"/>
    <numFmt numFmtId="166" formatCode="0.0%"/>
    <numFmt numFmtId="167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9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0" fontId="6" fillId="5" borderId="1" xfId="0" applyNumberFormat="1" applyFont="1" applyFill="1" applyBorder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Frontier BBCA-SUN: E(Rp) vs sigma_p per bobot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Frontier!$C$5</c:f>
              <c:strCache>
                <c:ptCount val="1"/>
                <c:pt idx="0">
                  <c:v>E(Rp)</c:v>
                </c:pt>
              </c:strCache>
            </c:strRef>
          </c:tx>
          <c:spPr>
            <a:ln w="22000">
              <a:solidFill>
                <a:srgbClr val="1F4E79"/>
              </a:solidFill>
              <a:prstDash val="solid"/>
            </a:ln>
          </c:spPr>
          <c:marker>
            <c:symbol val="none"/>
          </c:marker>
          <c:cat>
            <c:numRef>
              <c:f>Frontier!$B$6:$B$16</c:f>
              <c:numCache>
                <c:formatCode>0%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</c:numCache>
            </c:numRef>
          </c:cat>
          <c:val>
            <c:numRef>
              <c:f>Frontier!$C$6:$C$16</c:f>
              <c:numCache>
                <c:formatCode>0.00"%"</c:formatCode>
                <c:ptCount val="11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8.5</c:v>
                </c:pt>
                <c:pt idx="4">
                  <c:v>9</c:v>
                </c:pt>
                <c:pt idx="5">
                  <c:v>9.5</c:v>
                </c:pt>
                <c:pt idx="6">
                  <c:v>10</c:v>
                </c:pt>
                <c:pt idx="7">
                  <c:v>10.5</c:v>
                </c:pt>
                <c:pt idx="8">
                  <c:v>11</c:v>
                </c:pt>
                <c:pt idx="9">
                  <c:v>11.5</c:v>
                </c:pt>
                <c:pt idx="10">
                  <c:v>11.999999999999998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C83-4136-B16E-C14A78C75CC2}"/>
            </c:ext>
          </c:extLst>
        </c:ser>
        <c:ser>
          <c:idx val="1"/>
          <c:order val="1"/>
          <c:tx>
            <c:strRef>
              <c:f>Frontier!$D$5</c:f>
              <c:strCache>
                <c:ptCount val="1"/>
                <c:pt idx="0">
                  <c:v>sigma_p</c:v>
                </c:pt>
              </c:strCache>
            </c:strRef>
          </c:tx>
          <c:spPr>
            <a:ln w="22000">
              <a:solidFill>
                <a:srgbClr val="C62828"/>
              </a:solidFill>
              <a:prstDash val="solid"/>
            </a:ln>
          </c:spPr>
          <c:marker>
            <c:symbol val="none"/>
          </c:marker>
          <c:cat>
            <c:numRef>
              <c:f>Frontier!$B$6:$B$16</c:f>
              <c:numCache>
                <c:formatCode>0%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0.79999999999999993</c:v>
                </c:pt>
                <c:pt idx="9">
                  <c:v>0.89999999999999991</c:v>
                </c:pt>
                <c:pt idx="10">
                  <c:v>0.99999999999999989</c:v>
                </c:pt>
              </c:numCache>
            </c:numRef>
          </c:cat>
          <c:val>
            <c:numRef>
              <c:f>Frontier!$D$6:$D$16</c:f>
              <c:numCache>
                <c:formatCode>0.00"%"</c:formatCode>
                <c:ptCount val="11"/>
                <c:pt idx="0">
                  <c:v>8</c:v>
                </c:pt>
                <c:pt idx="1">
                  <c:v>7.0767224051816537</c:v>
                </c:pt>
                <c:pt idx="2">
                  <c:v>6.8352029962540257</c:v>
                </c:pt>
                <c:pt idx="3">
                  <c:v>7.3430239002743276</c:v>
                </c:pt>
                <c:pt idx="4">
                  <c:v>8.4664041954066906</c:v>
                </c:pt>
                <c:pt idx="5">
                  <c:v>10</c:v>
                </c:pt>
                <c:pt idx="6">
                  <c:v>11.784735890124988</c:v>
                </c:pt>
                <c:pt idx="7">
                  <c:v>13.722973438726752</c:v>
                </c:pt>
                <c:pt idx="8">
                  <c:v>15.758172482873766</c:v>
                </c:pt>
                <c:pt idx="9">
                  <c:v>17.857211428439768</c:v>
                </c:pt>
                <c:pt idx="10">
                  <c:v>19.999999999999996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C83-4136-B16E-C14A78C75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w(A) BBCA</a:t>
                </a:r>
              </a:p>
            </c:rich>
          </c:tx>
          <c:overlay val="1"/>
        </c:title>
        <c:numFmt formatCode="0%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Persen (%)</a:t>
                </a:r>
              </a:p>
            </c:rich>
          </c:tx>
          <c:overlay val="1"/>
        </c:title>
        <c:numFmt formatCode="0.00&quot;%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4</xdr:row>
      <xdr:rowOff>0</xdr:rowOff>
    </xdr:from>
    <xdr:ext cx="648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7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6" t="s">
        <v>0</v>
      </c>
      <c r="C2" s="27"/>
    </row>
    <row r="3" spans="2:3" ht="20.100000000000001" customHeight="1" x14ac:dyDescent="0.25">
      <c r="B3" s="29" t="s">
        <v>1</v>
      </c>
      <c r="C3" s="27"/>
    </row>
    <row r="5" spans="2:3" x14ac:dyDescent="0.25">
      <c r="B5" s="28" t="s">
        <v>2</v>
      </c>
      <c r="C5" s="27"/>
    </row>
    <row r="6" spans="2:3" x14ac:dyDescent="0.25">
      <c r="B6" s="24" t="s">
        <v>3</v>
      </c>
      <c r="C6" s="25"/>
    </row>
    <row r="7" spans="2:3" x14ac:dyDescent="0.25">
      <c r="B7" s="24" t="s">
        <v>4</v>
      </c>
      <c r="C7" s="25"/>
    </row>
    <row r="8" spans="2:3" x14ac:dyDescent="0.25">
      <c r="B8" s="24" t="s">
        <v>5</v>
      </c>
      <c r="C8" s="25"/>
    </row>
    <row r="9" spans="2:3" x14ac:dyDescent="0.25">
      <c r="B9" s="24" t="s">
        <v>6</v>
      </c>
      <c r="C9" s="25"/>
    </row>
    <row r="11" spans="2:3" x14ac:dyDescent="0.25">
      <c r="B11" s="28" t="s">
        <v>7</v>
      </c>
      <c r="C11" s="27"/>
    </row>
    <row r="12" spans="2:3" x14ac:dyDescent="0.25">
      <c r="B12" s="24" t="s">
        <v>8</v>
      </c>
      <c r="C12" s="25"/>
    </row>
    <row r="13" spans="2:3" x14ac:dyDescent="0.25">
      <c r="B13" s="24" t="s">
        <v>9</v>
      </c>
      <c r="C13" s="25"/>
    </row>
    <row r="14" spans="2:3" x14ac:dyDescent="0.25">
      <c r="B14" s="24" t="s">
        <v>10</v>
      </c>
      <c r="C14" s="25"/>
    </row>
    <row r="15" spans="2:3" x14ac:dyDescent="0.25">
      <c r="B15" s="24" t="s">
        <v>11</v>
      </c>
      <c r="C15" s="25"/>
    </row>
    <row r="17" spans="2:3" x14ac:dyDescent="0.25">
      <c r="B17" s="28" t="s">
        <v>12</v>
      </c>
      <c r="C17" s="27"/>
    </row>
    <row r="18" spans="2:3" x14ac:dyDescent="0.25">
      <c r="B18" s="3" t="s">
        <v>13</v>
      </c>
      <c r="C18" s="2" t="s">
        <v>14</v>
      </c>
    </row>
    <row r="19" spans="2:3" x14ac:dyDescent="0.25">
      <c r="B19" s="4" t="s">
        <v>15</v>
      </c>
      <c r="C19" s="2" t="s">
        <v>16</v>
      </c>
    </row>
    <row r="20" spans="2:3" x14ac:dyDescent="0.25">
      <c r="B20" s="5" t="s">
        <v>17</v>
      </c>
      <c r="C20" s="2" t="s">
        <v>18</v>
      </c>
    </row>
    <row r="22" spans="2:3" x14ac:dyDescent="0.25">
      <c r="B22" s="28" t="s">
        <v>19</v>
      </c>
      <c r="C22" s="27"/>
    </row>
    <row r="23" spans="2:3" x14ac:dyDescent="0.25">
      <c r="B23" s="24" t="s">
        <v>20</v>
      </c>
      <c r="C23" s="25"/>
    </row>
    <row r="24" spans="2:3" x14ac:dyDescent="0.25">
      <c r="B24" s="24" t="s">
        <v>21</v>
      </c>
      <c r="C24" s="25"/>
    </row>
    <row r="25" spans="2:3" x14ac:dyDescent="0.25">
      <c r="B25" s="24" t="s">
        <v>22</v>
      </c>
      <c r="C25" s="25"/>
    </row>
    <row r="27" spans="2:3" x14ac:dyDescent="0.25">
      <c r="B27" s="30" t="s">
        <v>23</v>
      </c>
      <c r="C27" s="27"/>
    </row>
  </sheetData>
  <mergeCells count="18">
    <mergeCell ref="B25:C25"/>
    <mergeCell ref="B3:C3"/>
    <mergeCell ref="B5:C5"/>
    <mergeCell ref="B27:C27"/>
    <mergeCell ref="B23:C23"/>
    <mergeCell ref="B22:C22"/>
    <mergeCell ref="B14:C14"/>
    <mergeCell ref="B17:C17"/>
    <mergeCell ref="B9:C9"/>
    <mergeCell ref="B8:C8"/>
    <mergeCell ref="B12:C12"/>
    <mergeCell ref="B13:C13"/>
    <mergeCell ref="B6:C6"/>
    <mergeCell ref="B24:C24"/>
    <mergeCell ref="B2:C2"/>
    <mergeCell ref="B15:C15"/>
    <mergeCell ref="B7:C7"/>
    <mergeCell ref="B11:C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7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6" t="s">
        <v>24</v>
      </c>
      <c r="C2" s="27"/>
      <c r="D2" s="27"/>
      <c r="E2" s="27"/>
      <c r="F2" s="27"/>
    </row>
    <row r="3" spans="2:6" x14ac:dyDescent="0.25">
      <c r="B3" s="29" t="s">
        <v>25</v>
      </c>
      <c r="C3" s="27"/>
      <c r="D3" s="27"/>
      <c r="E3" s="27"/>
      <c r="F3" s="27"/>
    </row>
    <row r="5" spans="2:6" ht="21.95" customHeight="1" x14ac:dyDescent="0.25"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</row>
    <row r="7" spans="2:6" ht="20.100000000000001" customHeight="1" x14ac:dyDescent="0.25">
      <c r="B7" s="28" t="s">
        <v>31</v>
      </c>
      <c r="C7" s="27"/>
      <c r="D7" s="27"/>
      <c r="E7" s="27"/>
      <c r="F7" s="27"/>
    </row>
    <row r="8" spans="2:6" x14ac:dyDescent="0.25">
      <c r="B8" s="2" t="s">
        <v>32</v>
      </c>
      <c r="C8" s="6">
        <v>12</v>
      </c>
      <c r="D8" s="7" t="s">
        <v>33</v>
      </c>
      <c r="E8" s="8" t="s">
        <v>34</v>
      </c>
      <c r="F8" s="9" t="s">
        <v>35</v>
      </c>
    </row>
    <row r="9" spans="2:6" x14ac:dyDescent="0.25">
      <c r="B9" s="2" t="s">
        <v>36</v>
      </c>
      <c r="C9" s="6">
        <v>20</v>
      </c>
      <c r="D9" s="7" t="s">
        <v>33</v>
      </c>
      <c r="E9" s="8" t="s">
        <v>34</v>
      </c>
      <c r="F9" s="9" t="s">
        <v>37</v>
      </c>
    </row>
    <row r="10" spans="2:6" x14ac:dyDescent="0.25">
      <c r="B10" s="2" t="s">
        <v>38</v>
      </c>
      <c r="C10" s="6">
        <v>7</v>
      </c>
      <c r="D10" s="7" t="s">
        <v>33</v>
      </c>
      <c r="E10" s="8" t="s">
        <v>34</v>
      </c>
      <c r="F10" s="9" t="s">
        <v>35</v>
      </c>
    </row>
    <row r="11" spans="2:6" x14ac:dyDescent="0.25">
      <c r="B11" s="2" t="s">
        <v>39</v>
      </c>
      <c r="C11" s="6">
        <v>8</v>
      </c>
      <c r="D11" s="7" t="s">
        <v>33</v>
      </c>
      <c r="E11" s="8" t="s">
        <v>34</v>
      </c>
      <c r="F11" s="9" t="s">
        <v>37</v>
      </c>
    </row>
    <row r="12" spans="2:6" x14ac:dyDescent="0.25">
      <c r="B12" s="2" t="s">
        <v>40</v>
      </c>
      <c r="C12" s="10">
        <v>-0.2</v>
      </c>
      <c r="D12" s="7" t="s">
        <v>41</v>
      </c>
      <c r="E12" s="8" t="s">
        <v>34</v>
      </c>
      <c r="F12" s="9" t="s">
        <v>42</v>
      </c>
    </row>
    <row r="13" spans="2:6" ht="25.5" x14ac:dyDescent="0.25">
      <c r="B13" s="2" t="s">
        <v>43</v>
      </c>
      <c r="C13" s="11">
        <v>0.6</v>
      </c>
      <c r="D13" s="7" t="s">
        <v>44</v>
      </c>
      <c r="E13" s="8" t="s">
        <v>34</v>
      </c>
      <c r="F13" s="9" t="s">
        <v>45</v>
      </c>
    </row>
    <row r="14" spans="2:6" x14ac:dyDescent="0.25">
      <c r="B14" s="2" t="s">
        <v>46</v>
      </c>
      <c r="C14" s="12">
        <v>6.8</v>
      </c>
      <c r="D14" s="7" t="s">
        <v>33</v>
      </c>
      <c r="E14" s="8" t="s">
        <v>34</v>
      </c>
      <c r="F14" s="9" t="s">
        <v>47</v>
      </c>
    </row>
    <row r="16" spans="2:6" ht="20.100000000000001" customHeight="1" x14ac:dyDescent="0.25">
      <c r="B16" s="28" t="s">
        <v>48</v>
      </c>
      <c r="C16" s="27"/>
      <c r="D16" s="27"/>
      <c r="E16" s="27"/>
      <c r="F16" s="27"/>
    </row>
    <row r="17" spans="2:6" x14ac:dyDescent="0.25">
      <c r="B17" s="2" t="s">
        <v>49</v>
      </c>
      <c r="C17" s="13">
        <f>1-C13</f>
        <v>0.4</v>
      </c>
      <c r="D17" s="7" t="s">
        <v>50</v>
      </c>
      <c r="E17" s="14" t="s">
        <v>51</v>
      </c>
      <c r="F17" s="9" t="s">
        <v>52</v>
      </c>
    </row>
    <row r="18" spans="2:6" x14ac:dyDescent="0.25">
      <c r="B18" s="2" t="s">
        <v>53</v>
      </c>
      <c r="C18" s="15">
        <f>C13*C8+(1-C13)*C10</f>
        <v>10</v>
      </c>
      <c r="D18" s="7" t="s">
        <v>33</v>
      </c>
      <c r="E18" s="14" t="s">
        <v>54</v>
      </c>
      <c r="F18" s="9" t="s">
        <v>55</v>
      </c>
    </row>
    <row r="19" spans="2:6" x14ac:dyDescent="0.25">
      <c r="B19" s="2" t="s">
        <v>56</v>
      </c>
      <c r="C19" s="16">
        <f>C13^2*C9^2</f>
        <v>144</v>
      </c>
      <c r="D19" s="7" t="s">
        <v>57</v>
      </c>
      <c r="E19" s="14" t="s">
        <v>58</v>
      </c>
      <c r="F19" s="9" t="s">
        <v>59</v>
      </c>
    </row>
    <row r="20" spans="2:6" x14ac:dyDescent="0.25">
      <c r="B20" s="2" t="s">
        <v>60</v>
      </c>
      <c r="C20" s="16">
        <f>(1-C13)^2*C11^2</f>
        <v>10.240000000000002</v>
      </c>
      <c r="D20" s="7" t="s">
        <v>57</v>
      </c>
      <c r="E20" s="14" t="s">
        <v>61</v>
      </c>
      <c r="F20" s="9" t="s">
        <v>62</v>
      </c>
    </row>
    <row r="21" spans="2:6" ht="25.5" x14ac:dyDescent="0.25">
      <c r="B21" s="2" t="s">
        <v>63</v>
      </c>
      <c r="C21" s="16">
        <f>2*C13*(1-C13)*C12*C9*C11</f>
        <v>-15.36</v>
      </c>
      <c r="D21" s="7" t="s">
        <v>57</v>
      </c>
      <c r="E21" s="14" t="s">
        <v>64</v>
      </c>
      <c r="F21" s="9" t="s">
        <v>65</v>
      </c>
    </row>
    <row r="22" spans="2:6" x14ac:dyDescent="0.25">
      <c r="B22" s="2" t="s">
        <v>66</v>
      </c>
      <c r="C22" s="16">
        <f>C19+C20+C21</f>
        <v>138.88</v>
      </c>
      <c r="D22" s="7" t="s">
        <v>57</v>
      </c>
      <c r="E22" s="14" t="s">
        <v>67</v>
      </c>
      <c r="F22" s="9" t="s">
        <v>68</v>
      </c>
    </row>
    <row r="23" spans="2:6" x14ac:dyDescent="0.25">
      <c r="B23" s="5" t="s">
        <v>69</v>
      </c>
      <c r="C23" s="17">
        <f>SQRT(C22)</f>
        <v>11.784735890124988</v>
      </c>
      <c r="D23" s="18" t="s">
        <v>33</v>
      </c>
      <c r="E23" s="19" t="s">
        <v>70</v>
      </c>
      <c r="F23" s="19" t="s">
        <v>71</v>
      </c>
    </row>
    <row r="24" spans="2:6" x14ac:dyDescent="0.25">
      <c r="B24" s="5" t="s">
        <v>72</v>
      </c>
      <c r="C24" s="20">
        <f>1-C23/C9</f>
        <v>0.41076320549375056</v>
      </c>
      <c r="D24" s="18" t="s">
        <v>73</v>
      </c>
      <c r="E24" s="19" t="s">
        <v>74</v>
      </c>
      <c r="F24" s="19" t="s">
        <v>75</v>
      </c>
    </row>
    <row r="26" spans="2:6" ht="20.100000000000001" customHeight="1" x14ac:dyDescent="0.25">
      <c r="B26" s="28" t="s">
        <v>76</v>
      </c>
      <c r="C26" s="27"/>
      <c r="D26" s="27"/>
      <c r="E26" s="27"/>
      <c r="F26" s="27"/>
    </row>
    <row r="27" spans="2:6" x14ac:dyDescent="0.25">
      <c r="B27" s="2" t="s">
        <v>77</v>
      </c>
      <c r="C27" s="16">
        <f>C12*C9*C11</f>
        <v>-32</v>
      </c>
      <c r="D27" s="7" t="s">
        <v>57</v>
      </c>
      <c r="E27" s="14" t="s">
        <v>78</v>
      </c>
      <c r="F27" s="9" t="s">
        <v>79</v>
      </c>
    </row>
    <row r="28" spans="2:6" x14ac:dyDescent="0.25">
      <c r="B28" s="2" t="s">
        <v>80</v>
      </c>
      <c r="C28" s="15">
        <f>C8-C14</f>
        <v>5.2</v>
      </c>
      <c r="D28" s="7" t="s">
        <v>33</v>
      </c>
      <c r="E28" s="14" t="s">
        <v>81</v>
      </c>
      <c r="F28" s="9" t="s">
        <v>82</v>
      </c>
    </row>
    <row r="29" spans="2:6" x14ac:dyDescent="0.25">
      <c r="B29" s="2" t="s">
        <v>83</v>
      </c>
      <c r="C29" s="15">
        <f>C10-C14</f>
        <v>0.20000000000000018</v>
      </c>
      <c r="D29" s="7" t="s">
        <v>33</v>
      </c>
      <c r="E29" s="14" t="s">
        <v>84</v>
      </c>
      <c r="F29" s="9" t="s">
        <v>85</v>
      </c>
    </row>
    <row r="30" spans="2:6" x14ac:dyDescent="0.25">
      <c r="B30" s="2" t="s">
        <v>86</v>
      </c>
      <c r="C30" s="16">
        <f>C28*C11^2-C29*C27</f>
        <v>339.20000000000005</v>
      </c>
      <c r="D30" s="7" t="s">
        <v>57</v>
      </c>
      <c r="E30" s="14" t="s">
        <v>87</v>
      </c>
      <c r="F30" s="9" t="s">
        <v>88</v>
      </c>
    </row>
    <row r="31" spans="2:6" ht="25.5" x14ac:dyDescent="0.25">
      <c r="B31" s="2" t="s">
        <v>89</v>
      </c>
      <c r="C31" s="16">
        <f>C28*C11^2+C29*C9^2-(C8+C10-2*C14)*C27</f>
        <v>585.60000000000014</v>
      </c>
      <c r="D31" s="7" t="s">
        <v>57</v>
      </c>
      <c r="E31" s="14" t="s">
        <v>90</v>
      </c>
      <c r="F31" s="9" t="s">
        <v>91</v>
      </c>
    </row>
    <row r="32" spans="2:6" ht="25.5" x14ac:dyDescent="0.25">
      <c r="B32" s="5" t="s">
        <v>92</v>
      </c>
      <c r="C32" s="21">
        <f>C30/C31</f>
        <v>0.57923497267759561</v>
      </c>
      <c r="D32" s="18" t="s">
        <v>50</v>
      </c>
      <c r="E32" s="19" t="s">
        <v>93</v>
      </c>
      <c r="F32" s="19" t="s">
        <v>94</v>
      </c>
    </row>
    <row r="33" spans="2:6" x14ac:dyDescent="0.25">
      <c r="B33" s="2" t="s">
        <v>95</v>
      </c>
      <c r="C33" s="15">
        <f>C32*C8+(1-C32)*C10</f>
        <v>9.8961748633879782</v>
      </c>
      <c r="D33" s="7" t="s">
        <v>33</v>
      </c>
      <c r="E33" s="14" t="s">
        <v>96</v>
      </c>
      <c r="F33" s="9" t="s">
        <v>97</v>
      </c>
    </row>
    <row r="34" spans="2:6" x14ac:dyDescent="0.25">
      <c r="B34" s="2" t="s">
        <v>98</v>
      </c>
      <c r="C34" s="15">
        <f>SQRT(C32^2*C9^2+(1-C32)^2*C11^2+2*C32*(1-C32)*C27)</f>
        <v>11.399027604684003</v>
      </c>
      <c r="D34" s="7" t="s">
        <v>33</v>
      </c>
      <c r="E34" s="14" t="s">
        <v>99</v>
      </c>
      <c r="F34" s="9" t="s">
        <v>100</v>
      </c>
    </row>
    <row r="35" spans="2:6" ht="25.5" x14ac:dyDescent="0.25">
      <c r="B35" s="5" t="s">
        <v>101</v>
      </c>
      <c r="C35" s="22">
        <f>(C33-C14)/C34</f>
        <v>0.27161745464286108</v>
      </c>
      <c r="D35" s="18" t="s">
        <v>41</v>
      </c>
      <c r="E35" s="19" t="s">
        <v>102</v>
      </c>
      <c r="F35" s="19" t="s">
        <v>103</v>
      </c>
    </row>
    <row r="37" spans="2:6" x14ac:dyDescent="0.25">
      <c r="B37" s="31" t="s">
        <v>104</v>
      </c>
      <c r="C37" s="27"/>
      <c r="D37" s="27"/>
      <c r="E37" s="27"/>
      <c r="F37" s="27"/>
    </row>
  </sheetData>
  <mergeCells count="6">
    <mergeCell ref="B7:F7"/>
    <mergeCell ref="B2:F2"/>
    <mergeCell ref="B16:F16"/>
    <mergeCell ref="B3:F3"/>
    <mergeCell ref="B37:F37"/>
    <mergeCell ref="B26:F2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8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14" customWidth="1"/>
    <col min="3" max="5" width="16" customWidth="1"/>
    <col min="6" max="6" width="60" customWidth="1"/>
  </cols>
  <sheetData>
    <row r="2" spans="2:6" x14ac:dyDescent="0.25">
      <c r="B2" s="26" t="s">
        <v>105</v>
      </c>
      <c r="C2" s="27"/>
      <c r="D2" s="27"/>
      <c r="E2" s="27"/>
      <c r="F2" s="27"/>
    </row>
    <row r="3" spans="2:6" x14ac:dyDescent="0.25">
      <c r="B3" s="29" t="s">
        <v>106</v>
      </c>
      <c r="C3" s="27"/>
      <c r="D3" s="27"/>
      <c r="E3" s="27"/>
      <c r="F3" s="27"/>
    </row>
    <row r="5" spans="2:6" ht="20.100000000000001" customHeight="1" x14ac:dyDescent="0.25">
      <c r="B5" s="1" t="s">
        <v>107</v>
      </c>
      <c r="C5" s="1" t="s">
        <v>108</v>
      </c>
      <c r="D5" s="1" t="s">
        <v>109</v>
      </c>
      <c r="E5" s="1" t="s">
        <v>110</v>
      </c>
      <c r="F5" s="1" t="s">
        <v>111</v>
      </c>
    </row>
    <row r="6" spans="2:6" x14ac:dyDescent="0.25">
      <c r="B6" s="13">
        <f>0</f>
        <v>0</v>
      </c>
      <c r="C6" s="15">
        <f>B6*Kalkulasi!$C$8+(1-B6)*Kalkulasi!$C$10</f>
        <v>7</v>
      </c>
      <c r="D6" s="15">
        <f>SQRT(B6^2*Kalkulasi!$C$9^2+(1-B6)^2*Kalkulasi!$C$11^2+2*B6*(1-B6)*Kalkulasi!$C$27)</f>
        <v>8</v>
      </c>
      <c r="E6" s="23">
        <f>(C6-Kalkulasi!$C$14)/D6</f>
        <v>2.5000000000000022E-2</v>
      </c>
      <c r="F6" s="9" t="s">
        <v>112</v>
      </c>
    </row>
    <row r="7" spans="2:6" x14ac:dyDescent="0.25">
      <c r="B7" s="13">
        <f t="shared" ref="B7:B16" si="0">B6+0.1</f>
        <v>0.1</v>
      </c>
      <c r="C7" s="15">
        <f>B7*Kalkulasi!$C$8+(1-B7)*Kalkulasi!$C$10</f>
        <v>7.5</v>
      </c>
      <c r="D7" s="15">
        <f>SQRT(B7^2*Kalkulasi!$C$9^2+(1-B7)^2*Kalkulasi!$C$11^2+2*B7*(1-B7)*Kalkulasi!$C$27)</f>
        <v>7.0767224051816537</v>
      </c>
      <c r="E7" s="23">
        <f>(C7-Kalkulasi!$C$14)/D7</f>
        <v>9.891584831523878E-2</v>
      </c>
      <c r="F7" s="9"/>
    </row>
    <row r="8" spans="2:6" x14ac:dyDescent="0.25">
      <c r="B8" s="13">
        <f t="shared" si="0"/>
        <v>0.2</v>
      </c>
      <c r="C8" s="15">
        <f>B8*Kalkulasi!$C$8+(1-B8)*Kalkulasi!$C$10</f>
        <v>8</v>
      </c>
      <c r="D8" s="15">
        <f>SQRT(B8^2*Kalkulasi!$C$9^2+(1-B8)^2*Kalkulasi!$C$11^2+2*B8*(1-B8)*Kalkulasi!$C$27)</f>
        <v>6.8352029962540257</v>
      </c>
      <c r="E8" s="23">
        <f>(C8-Kalkulasi!$C$14)/D8</f>
        <v>0.17556172079419585</v>
      </c>
      <c r="F8" s="9"/>
    </row>
    <row r="9" spans="2:6" x14ac:dyDescent="0.25">
      <c r="B9" s="13">
        <f t="shared" si="0"/>
        <v>0.30000000000000004</v>
      </c>
      <c r="C9" s="15">
        <f>B9*Kalkulasi!$C$8+(1-B9)*Kalkulasi!$C$10</f>
        <v>8.5</v>
      </c>
      <c r="D9" s="15">
        <f>SQRT(B9^2*Kalkulasi!$C$9^2+(1-B9)^2*Kalkulasi!$C$11^2+2*B9*(1-B9)*Kalkulasi!$C$27)</f>
        <v>7.3430239002743276</v>
      </c>
      <c r="E9" s="23">
        <f>(C9-Kalkulasi!$C$14)/D9</f>
        <v>0.23151225204870843</v>
      </c>
      <c r="F9" s="9"/>
    </row>
    <row r="10" spans="2:6" x14ac:dyDescent="0.25">
      <c r="B10" s="13">
        <f t="shared" si="0"/>
        <v>0.4</v>
      </c>
      <c r="C10" s="15">
        <f>B10*Kalkulasi!$C$8+(1-B10)*Kalkulasi!$C$10</f>
        <v>9</v>
      </c>
      <c r="D10" s="15">
        <f>SQRT(B10^2*Kalkulasi!$C$9^2+(1-B10)^2*Kalkulasi!$C$11^2+2*B10*(1-B10)*Kalkulasi!$C$27)</f>
        <v>8.4664041954066906</v>
      </c>
      <c r="E10" s="23">
        <f>(C10-Kalkulasi!$C$14)/D10</f>
        <v>0.25985057519384369</v>
      </c>
      <c r="F10" s="9"/>
    </row>
    <row r="11" spans="2:6" x14ac:dyDescent="0.25">
      <c r="B11" s="13">
        <f t="shared" si="0"/>
        <v>0.5</v>
      </c>
      <c r="C11" s="15">
        <f>B11*Kalkulasi!$C$8+(1-B11)*Kalkulasi!$C$10</f>
        <v>9.5</v>
      </c>
      <c r="D11" s="15">
        <f>SQRT(B11^2*Kalkulasi!$C$9^2+(1-B11)^2*Kalkulasi!$C$11^2+2*B11*(1-B11)*Kalkulasi!$C$27)</f>
        <v>10</v>
      </c>
      <c r="E11" s="23">
        <f>(C11-Kalkulasi!$C$14)/D11</f>
        <v>0.27</v>
      </c>
      <c r="F11" s="9"/>
    </row>
    <row r="12" spans="2:6" x14ac:dyDescent="0.25">
      <c r="B12" s="13">
        <f t="shared" si="0"/>
        <v>0.6</v>
      </c>
      <c r="C12" s="15">
        <f>B12*Kalkulasi!$C$8+(1-B12)*Kalkulasi!$C$10</f>
        <v>10</v>
      </c>
      <c r="D12" s="15">
        <f>SQRT(B12^2*Kalkulasi!$C$9^2+(1-B12)^2*Kalkulasi!$C$11^2+2*B12*(1-B12)*Kalkulasi!$C$27)</f>
        <v>11.784735890124988</v>
      </c>
      <c r="E12" s="23">
        <f>(C12-Kalkulasi!$C$14)/D12</f>
        <v>0.27153769332085226</v>
      </c>
      <c r="F12" s="9"/>
    </row>
    <row r="13" spans="2:6" x14ac:dyDescent="0.25">
      <c r="B13" s="13">
        <f t="shared" si="0"/>
        <v>0.7</v>
      </c>
      <c r="C13" s="15">
        <f>B13*Kalkulasi!$C$8+(1-B13)*Kalkulasi!$C$10</f>
        <v>10.5</v>
      </c>
      <c r="D13" s="15">
        <f>SQRT(B13^2*Kalkulasi!$C$9^2+(1-B13)^2*Kalkulasi!$C$11^2+2*B13*(1-B13)*Kalkulasi!$C$27)</f>
        <v>13.722973438726752</v>
      </c>
      <c r="E13" s="23">
        <f>(C13-Kalkulasi!$C$14)/D13</f>
        <v>0.26962086726470369</v>
      </c>
      <c r="F13" s="9"/>
    </row>
    <row r="14" spans="2:6" x14ac:dyDescent="0.25">
      <c r="B14" s="13">
        <f t="shared" si="0"/>
        <v>0.79999999999999993</v>
      </c>
      <c r="C14" s="15">
        <f>B14*Kalkulasi!$C$8+(1-B14)*Kalkulasi!$C$10</f>
        <v>11</v>
      </c>
      <c r="D14" s="15">
        <f>SQRT(B14^2*Kalkulasi!$C$9^2+(1-B14)^2*Kalkulasi!$C$11^2+2*B14*(1-B14)*Kalkulasi!$C$27)</f>
        <v>15.758172482873766</v>
      </c>
      <c r="E14" s="23">
        <f>(C14-Kalkulasi!$C$14)/D14</f>
        <v>0.26652836834757504</v>
      </c>
      <c r="F14" s="9"/>
    </row>
    <row r="15" spans="2:6" x14ac:dyDescent="0.25">
      <c r="B15" s="13">
        <f t="shared" si="0"/>
        <v>0.89999999999999991</v>
      </c>
      <c r="C15" s="15">
        <f>B15*Kalkulasi!$C$8+(1-B15)*Kalkulasi!$C$10</f>
        <v>11.5</v>
      </c>
      <c r="D15" s="15">
        <f>SQRT(B15^2*Kalkulasi!$C$9^2+(1-B15)^2*Kalkulasi!$C$11^2+2*B15*(1-B15)*Kalkulasi!$C$27)</f>
        <v>17.857211428439768</v>
      </c>
      <c r="E15" s="23">
        <f>(C15-Kalkulasi!$C$14)/D15</f>
        <v>0.2631989893178216</v>
      </c>
      <c r="F15" s="9"/>
    </row>
    <row r="16" spans="2:6" x14ac:dyDescent="0.25">
      <c r="B16" s="13">
        <f t="shared" si="0"/>
        <v>0.99999999999999989</v>
      </c>
      <c r="C16" s="15">
        <f>B16*Kalkulasi!$C$8+(1-B16)*Kalkulasi!$C$10</f>
        <v>11.999999999999998</v>
      </c>
      <c r="D16" s="15">
        <f>SQRT(B16^2*Kalkulasi!$C$9^2+(1-B16)^2*Kalkulasi!$C$11^2+2*B16*(1-B16)*Kalkulasi!$C$27)</f>
        <v>19.999999999999996</v>
      </c>
      <c r="E16" s="23">
        <f>(C16-Kalkulasi!$C$14)/D16</f>
        <v>0.25999999999999995</v>
      </c>
      <c r="F16" s="9" t="s">
        <v>113</v>
      </c>
    </row>
    <row r="18" spans="2:6" x14ac:dyDescent="0.25">
      <c r="B18" s="32" t="s">
        <v>114</v>
      </c>
      <c r="C18" s="25"/>
      <c r="D18" s="21">
        <f>INDEX(B6:B16,MATCH(MAX(E6:E16),E6:E16,0))</f>
        <v>0.6</v>
      </c>
      <c r="E18" s="22">
        <f>MAX(E6:E16)</f>
        <v>0.27153769332085226</v>
      </c>
      <c r="F18" s="9" t="s">
        <v>115</v>
      </c>
    </row>
  </sheetData>
  <mergeCells count="3">
    <mergeCell ref="B2:F2"/>
    <mergeCell ref="B18:C18"/>
    <mergeCell ref="B3:F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Kalkulasi</vt:lpstr>
      <vt:lpstr>Frontier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2026-08-14T17:26:29Z</dcterms:modified>
</cp:coreProperties>
</file>