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DB623063-D0FF-4A20-87DE-71EEC1073E74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  <sheet name="Proyeks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3" l="1"/>
  <c r="C30" i="3"/>
  <c r="F29" i="3"/>
  <c r="C29" i="3"/>
  <c r="F28" i="3"/>
  <c r="C28" i="3"/>
  <c r="F27" i="3"/>
  <c r="C27" i="3"/>
  <c r="F26" i="3"/>
  <c r="C26" i="3"/>
  <c r="F25" i="3"/>
  <c r="C25" i="3"/>
  <c r="F24" i="3"/>
  <c r="C24" i="3"/>
  <c r="F23" i="3"/>
  <c r="C23" i="3"/>
  <c r="F22" i="3"/>
  <c r="C22" i="3"/>
  <c r="F21" i="3"/>
  <c r="C21" i="3"/>
  <c r="F20" i="3"/>
  <c r="C20" i="3"/>
  <c r="F19" i="3"/>
  <c r="C19" i="3"/>
  <c r="F18" i="3"/>
  <c r="C18" i="3"/>
  <c r="F17" i="3"/>
  <c r="C17" i="3"/>
  <c r="F16" i="3"/>
  <c r="C16" i="3"/>
  <c r="F15" i="3"/>
  <c r="C15" i="3"/>
  <c r="F14" i="3"/>
  <c r="C14" i="3"/>
  <c r="F13" i="3"/>
  <c r="C13" i="3"/>
  <c r="F12" i="3"/>
  <c r="C12" i="3"/>
  <c r="F11" i="3"/>
  <c r="C11" i="3"/>
  <c r="F10" i="3"/>
  <c r="C10" i="3"/>
  <c r="F9" i="3"/>
  <c r="C9" i="3"/>
  <c r="F8" i="3"/>
  <c r="C8" i="3"/>
  <c r="F7" i="3"/>
  <c r="C7" i="3"/>
  <c r="F6" i="3"/>
  <c r="C6" i="3"/>
  <c r="E35" i="2"/>
  <c r="C35" i="2"/>
  <c r="C21" i="2"/>
  <c r="C20" i="2"/>
  <c r="C22" i="2" s="1"/>
  <c r="C38" i="2" s="1"/>
  <c r="C19" i="2"/>
  <c r="C24" i="2" s="1"/>
  <c r="D30" i="2" l="1"/>
  <c r="D6" i="3"/>
  <c r="D28" i="2"/>
  <c r="D31" i="2"/>
  <c r="D29" i="2"/>
  <c r="D32" i="2"/>
  <c r="D33" i="2"/>
  <c r="D34" i="2"/>
  <c r="C23" i="2"/>
  <c r="D35" i="2" l="1"/>
  <c r="E6" i="3"/>
  <c r="G6" i="3"/>
  <c r="D7" i="3" s="1"/>
  <c r="E7" i="3" l="1"/>
  <c r="G7" i="3" s="1"/>
  <c r="D8" i="3" s="1"/>
  <c r="E8" i="3" l="1"/>
  <c r="G8" i="3" s="1"/>
  <c r="D9" i="3" s="1"/>
  <c r="E9" i="3" l="1"/>
  <c r="G9" i="3"/>
  <c r="D10" i="3" s="1"/>
  <c r="E10" i="3" l="1"/>
  <c r="G10" i="3" s="1"/>
  <c r="C39" i="2" l="1"/>
  <c r="D11" i="3"/>
  <c r="E11" i="3" l="1"/>
  <c r="G11" i="3" s="1"/>
  <c r="D12" i="3" s="1"/>
  <c r="E12" i="3" l="1"/>
  <c r="G12" i="3" s="1"/>
  <c r="D13" i="3" s="1"/>
  <c r="E13" i="3" l="1"/>
  <c r="G13" i="3" s="1"/>
  <c r="D14" i="3" s="1"/>
  <c r="E14" i="3" l="1"/>
  <c r="G14" i="3" s="1"/>
  <c r="D15" i="3" s="1"/>
  <c r="E15" i="3" l="1"/>
  <c r="G15" i="3" s="1"/>
  <c r="D16" i="3" s="1"/>
  <c r="E16" i="3" l="1"/>
  <c r="G16" i="3"/>
  <c r="D17" i="3" s="1"/>
  <c r="E17" i="3" l="1"/>
  <c r="G17" i="3" s="1"/>
  <c r="D18" i="3" s="1"/>
  <c r="E18" i="3" l="1"/>
  <c r="G18" i="3"/>
  <c r="D19" i="3" s="1"/>
  <c r="E19" i="3" l="1"/>
  <c r="G19" i="3"/>
  <c r="D20" i="3" s="1"/>
  <c r="E20" i="3" l="1"/>
  <c r="G20" i="3" s="1"/>
  <c r="D21" i="3" s="1"/>
  <c r="E21" i="3" l="1"/>
  <c r="G21" i="3"/>
  <c r="D22" i="3" s="1"/>
  <c r="E22" i="3" l="1"/>
  <c r="G22" i="3"/>
  <c r="D23" i="3" s="1"/>
  <c r="E23" i="3" l="1"/>
  <c r="G23" i="3"/>
  <c r="D24" i="3" s="1"/>
  <c r="E24" i="3" l="1"/>
  <c r="G24" i="3" s="1"/>
  <c r="D25" i="3" s="1"/>
  <c r="E25" i="3" l="1"/>
  <c r="G25" i="3" s="1"/>
  <c r="D26" i="3" s="1"/>
  <c r="E26" i="3" l="1"/>
  <c r="G26" i="3" s="1"/>
  <c r="D27" i="3" s="1"/>
  <c r="E27" i="3" l="1"/>
  <c r="G27" i="3" s="1"/>
  <c r="D28" i="3" s="1"/>
  <c r="E28" i="3" l="1"/>
  <c r="G28" i="3" s="1"/>
  <c r="D29" i="3" s="1"/>
  <c r="E29" i="3" l="1"/>
  <c r="G29" i="3"/>
  <c r="D30" i="3" s="1"/>
  <c r="E30" i="3" l="1"/>
  <c r="G30" i="3" s="1"/>
  <c r="E32" i="3" l="1"/>
  <c r="C40" i="2"/>
  <c r="C41" i="2" s="1"/>
  <c r="D32" i="3"/>
</calcChain>
</file>

<file path=xl/sharedStrings.xml><?xml version="1.0" encoding="utf-8"?>
<sst xmlns="http://schemas.openxmlformats.org/spreadsheetml/2006/main" count="137" uniqueCount="116">
  <si>
    <t>STUDI KASUS BU SINTA — NET WORTH, ALOKASI &amp; PROYEKSI 25 THN</t>
  </si>
  <si>
    <t>Pertemuan 14 · Studi kasus UHNW terintegrasi: investable assets, alokasi strategis 7 kelas, wealth plan</t>
  </si>
  <si>
    <t>RINGKASAN KONSEP</t>
  </si>
  <si>
    <t>Net worth W = jumlah seluruh aset; investable I = aset likuid + global + lambda x saham perusahaan (lambda = porsi yang relatif cair).</t>
  </si>
  <si>
    <t>Alokasi strategis 7 kelas mengintegrasikan MPT (40% saham), alternatif 20%, multi-yurisdiksi 20%, defensive 25%.</t>
  </si>
  <si>
    <t>Wealth plan: W_t = W_(t-1) x (1+r) - S0 x (1+pi)^t — spending di-inflate, return compounding.</t>
  </si>
  <si>
    <t>Diversifikasi dari konsentrasi Rp 90 M di PT Sinta Retail via jual saham bertahap (succession 5 thn).</t>
  </si>
  <si>
    <t>CARA PAKAI WORKBOOK</t>
  </si>
  <si>
    <t>1. Ubah sel KUNING: komponen kekayaan, lambda, bobot alokasi 7 kelas, return, inflasi, spending.</t>
  </si>
  <si>
    <t>2. Blok A = HDN-1 slide: net worth, investable assets, segmen klien.</t>
  </si>
  <si>
    <t>3. Blok B: alokasi strategis 7 kelas dengan cek total 100%.</t>
  </si>
  <si>
    <t>4. Sheet 'Proyeksi' = HDN-2 slide: proyeksi AUM 25 tahun + grafik.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</si>
  <si>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</si>
  <si>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</si>
  <si>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</si>
  <si>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</si>
  <si>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</si>
  <si>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</si>
  <si>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</si>
  <si>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</si>
  <si>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W = 90 + 35 + 20 + 5 = Rp 150 M; I = 20 + 5 + 0,5x90 = Rp 70 M -&gt; UHNW sophisticated.</t>
  </si>
  <si>
    <t>Alokasi: saham domestik 20% · global 20% · obligasi 25% · alternatif 20% · kas 5% · emas 5% · real estate 5%.</t>
  </si>
  <si>
    <t>HDN-2: W_t = W_(t-1) x 1,07 - 0,5 x 1,03^t. Presisi: W25 = Rp 337,0 M (4,8x). Slide menampilkan Rp 256,9 M (3,7x) — tabel slide mengalami geser baris; verifikasi baris pertama: 70x1,07 - 0,515 = 74,4 M.</t>
  </si>
  <si>
    <t>NET WORTH, ALOKASI &amp; WEALTH PLAN BU SINTA — LANGKAH DEMI LANGKAH</t>
  </si>
  <si>
    <t>Nilai dalam Rp miliar · mirror HDN-1 &amp; HDN-2 Pertemuan 14</t>
  </si>
  <si>
    <t>Langkah / Variabel</t>
  </si>
  <si>
    <t>Nilai</t>
  </si>
  <si>
    <t>Satuan</t>
  </si>
  <si>
    <t>Rumus</t>
  </si>
  <si>
    <t>Catatan</t>
  </si>
  <si>
    <t>INPUT — UBAH SEL KUNING SAJA</t>
  </si>
  <si>
    <t>Saham PT Sinta Retail (founder equity)</t>
  </si>
  <si>
    <t>Rp miliar</t>
  </si>
  <si>
    <t>INPUT</t>
  </si>
  <si>
    <t>Konsentrasi terbesar</t>
  </si>
  <si>
    <t>Properti (rumah + apartemen + tanah)</t>
  </si>
  <si>
    <t>Residensial — tidak investable</t>
  </si>
  <si>
    <t>Aset likuid (kas + deposito + SBN + reksadana)</t>
  </si>
  <si>
    <t>Aset global (reksadana feeder US)</t>
  </si>
  <si>
    <t>Lambda: porsi saham perusahaan yang dihitung investable</t>
  </si>
  <si>
    <t>%</t>
  </si>
  <si>
    <t>50% relatif cair (jual bertahap)</t>
  </si>
  <si>
    <t>Return target portofolio (r)</t>
  </si>
  <si>
    <t>%/thn</t>
  </si>
  <si>
    <t>IPS Bu Sinta (profil moderate)</t>
  </si>
  <si>
    <t>Inflasi (pi)</t>
  </si>
  <si>
    <t>Spending tahun pertama (S0)</t>
  </si>
  <si>
    <t>Rp miliar/thn</t>
  </si>
  <si>
    <t>Rp 500 jt/thn, di-inflate</t>
  </si>
  <si>
    <t>Horizon wealth plan (T)</t>
  </si>
  <si>
    <t>thn</t>
  </si>
  <si>
    <t>Usia 60 s.d. 85</t>
  </si>
  <si>
    <t>BLOK A · HDN-1: NET WORTH &amp; ASET INVESTABLE — LANGKAH 1-7</t>
  </si>
  <si>
    <t>1. Total net worth W = jumlah aset</t>
  </si>
  <si>
    <t>'= C8+C9+C10+C11</t>
  </si>
  <si>
    <t>90 + 35 + 20 + 5 = Rp 150 M.</t>
  </si>
  <si>
    <t>2. Komponen likuid + global</t>
  </si>
  <si>
    <t>'= C10+C11</t>
  </si>
  <si>
    <t>20 + 5 = Rp 25 M.</t>
  </si>
  <si>
    <t>3. Saham perusahaan yang dihitung investable</t>
  </si>
  <si>
    <t>'= C12*C8</t>
  </si>
  <si>
    <t>0,5 x 90 = Rp 45 M.</t>
  </si>
  <si>
    <t>4. Investable I = likuid + global + lambda x saham</t>
  </si>
  <si>
    <t>'= C20+C21</t>
  </si>
  <si>
    <t>25 + 45 = Rp 70 M.</t>
  </si>
  <si>
    <t>5. Investable sebagai % net worth</t>
  </si>
  <si>
    <t>'= C22/C19</t>
  </si>
  <si>
    <t>70/150 = 46,7% — properti tidak investable.</t>
  </si>
  <si>
    <t>6. Segmen klien (ambang UHNW RI &gt; Rp 50 M)</t>
  </si>
  <si>
    <t>—</t>
  </si>
  <si>
    <t>IF(...)</t>
  </si>
  <si>
    <t>Sisa Rp 35 M properti dapat dijual sebagian untuk likuiditas.</t>
  </si>
  <si>
    <t>BLOK B · ALOKASI STRATEGIS 7 KELAS DARI INVESTABLE Rp 70 M</t>
  </si>
  <si>
    <t>Kelas aset</t>
  </si>
  <si>
    <t>Bobot</t>
  </si>
  <si>
    <t>Nilai (Rp M)</t>
  </si>
  <si>
    <t>Justifikasi</t>
  </si>
  <si>
    <t>Saham domestik (IHSG)</t>
  </si>
  <si>
    <t>Core growth, currency IDR</t>
  </si>
  <si>
    <t>Saham global (MSCI World)</t>
  </si>
  <si>
    <t>Diversifikasi &amp; currency hedge</t>
  </si>
  <si>
    <t>Obligasi (SBN + korporat)</t>
  </si>
  <si>
    <t>Income stabil &amp; defensive</t>
  </si>
  <si>
    <t>Alternatif (PE + HF + REIT)</t>
  </si>
  <si>
    <t>Return enhancement, illiquid</t>
  </si>
  <si>
    <t>Kas &amp; setara</t>
  </si>
  <si>
    <t>Likuiditas operasional</t>
  </si>
  <si>
    <t>Emas &amp; komoditas</t>
  </si>
  <si>
    <t>Hedge krisis &amp; inflasi</t>
  </si>
  <si>
    <t>Real estate non-residensial</t>
  </si>
  <si>
    <t>Income + diversification</t>
  </si>
  <si>
    <t>TOTAL</t>
  </si>
  <si>
    <t>Total bobot harus 100%.</t>
  </si>
  <si>
    <t>BLOK C · HDN-2: PROYEKSI WEALTH PLAN (RINGKAS — detail di sheet Proyeksi)</t>
  </si>
  <si>
    <t>1. Cek tahun-1: W1 = 70 x 1,07 - 0,5 x 1,03</t>
  </si>
  <si>
    <t>W1</t>
  </si>
  <si>
    <t>74,9 - 0,515 = Rp 74,4 M (sama dgn slide).</t>
  </si>
  <si>
    <t>2. Wealth plan thn-5 (usia 65)</t>
  </si>
  <si>
    <t>lihat sheet Proyeksi</t>
  </si>
  <si>
    <t>Rujuk baris thn-5 di sheet Proyeksi.</t>
  </si>
  <si>
    <t>3. Wealth plan thn-25 (usia 85)</t>
  </si>
  <si>
    <t>Presisi Rp 337,0 M (slide: Rp 256,9 M — cek catatan).</t>
  </si>
  <si>
    <t>4. Multiples pertumbuhan AUM</t>
  </si>
  <si>
    <t>x</t>
  </si>
  <si>
    <t>'= C40/'Kalkulasi'!C22</t>
  </si>
  <si>
    <t>4,8x dalam 25 thn dgn spending Rp 500 jt/thn yang di-inflate — sustainable + wealth transfer.</t>
  </si>
  <si>
    <t>PROYEKSI WEALTH PLAN BU SINTA 25 THN — W_t = W_(t-1) x (1+r) - S0 x (1+pi)^t</t>
  </si>
  <si>
    <t>r = 7% · pi = 3% · S0 = Rp 0,5 M · W0 = Rp 70 M · semua sel = formula hidup.</t>
  </si>
  <si>
    <t>Thn</t>
  </si>
  <si>
    <t>Usia</t>
  </si>
  <si>
    <t>AUM awal</t>
  </si>
  <si>
    <t>Return 7%</t>
  </si>
  <si>
    <t>Spending (inflate)</t>
  </si>
  <si>
    <t>AUM akhir</t>
  </si>
  <si>
    <t>Thn-25:</t>
  </si>
  <si>
    <t>AUM akhir thn-25 &amp; multiple-nya.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</si>
</sst>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p &quot;#,##0.00&quot; M&quot;"/>
    <numFmt numFmtId="165" formatCode="0.00&quot;x&quot;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10" fontId="4" fillId="0" borderId="1" xfId="0" applyNumberFormat="1" applyFont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9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Wealth plan Bu Sinta: AUM akhir per tahun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Proyeksi!$G$5</c:f>
              <c:strCache>
                <c:ptCount val="1"/>
                <c:pt idx="0">
                  <c:v>AUM akhir</c:v>
                </c:pt>
              </c:strCache>
            </c:strRef>
          </c:tx>
          <c:spPr>
            <a:ln w="22000">
              <a:solidFill>
                <a:srgbClr val="1F4E79"/>
              </a:solidFill>
              <a:prstDash val="solid"/>
            </a:ln>
          </c:spPr>
          <c:marker>
            <c:symbol val="none"/>
          </c:marker>
          <c:cat>
            <c:numRef>
              <c:f>Proyeksi!$B$6:$B$30</c:f>
              <c:numCache>
                <c:formatCode>#,##0</c:formatCode>
                <c:ptCount val="2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</c:numCache>
            </c:numRef>
          </c:cat>
          <c:val>
            <c:numRef>
              <c:f>Proyeksi!$G$6:$G$30</c:f>
              <c:numCache>
                <c:formatCode>"Rp "#,##0.00" M"</c:formatCode>
                <c:ptCount val="25"/>
                <c:pt idx="0">
                  <c:v>74.385000000000005</c:v>
                </c:pt>
                <c:pt idx="1">
                  <c:v>79.061500000000009</c:v>
                </c:pt>
                <c:pt idx="2">
                  <c:v>84.049441500000015</c:v>
                </c:pt>
                <c:pt idx="3">
                  <c:v>89.370148000000015</c:v>
                </c:pt>
                <c:pt idx="4">
                  <c:v>95.046421322850023</c:v>
                </c:pt>
                <c:pt idx="5">
                  <c:v>101.10264466718502</c:v>
                </c:pt>
                <c:pt idx="6">
                  <c:v>107.56489286117554</c:v>
                </c:pt>
                <c:pt idx="7">
                  <c:v>114.46105032076402</c:v>
                </c:pt>
                <c:pt idx="8">
                  <c:v>121.82093725130288</c:v>
                </c:pt>
                <c:pt idx="9">
                  <c:v>129.67644466922201</c:v>
                </c:pt>
                <c:pt idx="10">
                  <c:v>138.06167886070531</c:v>
                </c:pt>
                <c:pt idx="11">
                  <c:v>147.01311593753158</c:v>
                </c:pt>
                <c:pt idx="12">
                  <c:v>156.56976719643302</c:v>
                </c:pt>
                <c:pt idx="13">
                  <c:v>166.77335603775578</c:v>
                </c:pt>
                <c:pt idx="14">
                  <c:v>177.66850725209829</c:v>
                </c:pt>
                <c:pt idx="15">
                  <c:v>189.30294954019578</c:v>
                </c:pt>
                <c:pt idx="16">
                  <c:v>201.72773219187363</c:v>
                </c:pt>
                <c:pt idx="17">
                  <c:v>214.99745691468482</c:v>
                </c:pt>
                <c:pt idx="18">
                  <c:v>229.17052587217421</c:v>
                </c:pt>
                <c:pt idx="19">
                  <c:v>244.30940706589172</c:v>
                </c:pt>
                <c:pt idx="20">
                  <c:v>260.48091827464941</c:v>
                </c:pt>
                <c:pt idx="21">
                  <c:v>277.75653084944452</c:v>
                </c:pt>
                <c:pt idx="22">
                  <c:v>296.2126947533423</c:v>
                </c:pt>
                <c:pt idx="23">
                  <c:v>315.93118633284604</c:v>
                </c:pt>
                <c:pt idx="24">
                  <c:v>336.99948041131813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738-40A7-8763-8073BA6980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Tahun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Rp miliar</a:t>
                </a:r>
              </a:p>
            </c:rich>
          </c:tx>
          <c:overlay val="1"/>
        </c:title>
        <c:numFmt formatCode="&quot;Rp &quot;#,##0.00&quot; M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6480000" cy="36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8" t="s">
        <v>0</v>
      </c>
      <c r="C2" s="29"/>
    </row>
    <row r="3" spans="2:3" ht="20.100000000000001" customHeight="1" x14ac:dyDescent="0.25">
      <c r="B3" s="31" t="s">
        <v>1</v>
      </c>
      <c r="C3" s="29"/>
    </row>
    <row r="5" spans="2:3" x14ac:dyDescent="0.25">
      <c r="B5" s="30" t="s">
        <v>2</v>
      </c>
      <c r="C5" s="29"/>
    </row>
    <row r="6" spans="2:3" x14ac:dyDescent="0.25">
      <c r="B6" s="26" t="s">
        <v>3</v>
      </c>
      <c r="C6" s="27"/>
    </row>
    <row r="7" spans="2:3" x14ac:dyDescent="0.25">
      <c r="B7" s="26" t="s">
        <v>4</v>
      </c>
      <c r="C7" s="27"/>
    </row>
    <row r="8" spans="2:3" x14ac:dyDescent="0.25">
      <c r="B8" s="26" t="s">
        <v>5</v>
      </c>
      <c r="C8" s="27"/>
    </row>
    <row r="9" spans="2:3" x14ac:dyDescent="0.25">
      <c r="B9" s="26" t="s">
        <v>6</v>
      </c>
      <c r="C9" s="27"/>
    </row>
    <row r="11" spans="2:3" x14ac:dyDescent="0.25">
      <c r="B11" s="30" t="s">
        <v>7</v>
      </c>
      <c r="C11" s="29"/>
    </row>
    <row r="12" spans="2:3" x14ac:dyDescent="0.25">
      <c r="B12" s="26" t="s">
        <v>8</v>
      </c>
      <c r="C12" s="27"/>
    </row>
    <row r="13" spans="2:3" x14ac:dyDescent="0.25">
      <c r="B13" s="26" t="s">
        <v>9</v>
      </c>
      <c r="C13" s="27"/>
    </row>
    <row r="14" spans="2:3" x14ac:dyDescent="0.25">
      <c r="B14" s="26" t="s">
        <v>10</v>
      </c>
      <c r="C14" s="27"/>
    </row>
    <row r="15" spans="2:3" x14ac:dyDescent="0.25">
      <c r="B15" s="26" t="s">
        <v>11</v>
      </c>
      <c r="C15" s="27"/>
    </row>
    <row r="17" spans="2:3" x14ac:dyDescent="0.25">
      <c r="B17" s="30" t="s">
        <v>12</v>
      </c>
      <c r="C17" s="29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30" t="s">
        <v>19</v>
      </c>
      <c r="C22" s="29"/>
    </row>
    <row r="23" spans="2:3" x14ac:dyDescent="0.25">
      <c r="B23" s="26" t="s">
        <v>20</v>
      </c>
      <c r="C23" s="27"/>
    </row>
    <row r="24" spans="2:3" x14ac:dyDescent="0.25">
      <c r="B24" s="26" t="s">
        <v>21</v>
      </c>
      <c r="C24" s="27"/>
    </row>
    <row r="25" spans="2:3" x14ac:dyDescent="0.25">
      <c r="B25" s="26" t="s">
        <v>22</v>
      </c>
      <c r="C25" s="27"/>
    </row>
  </sheetData>
  <mergeCells count="17">
    <mergeCell ref="B25:C25"/>
    <mergeCell ref="B3:C3"/>
    <mergeCell ref="B5:C5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1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8" t="s">
        <v>23</v>
      </c>
      <c r="C2" s="29"/>
      <c r="D2" s="29"/>
      <c r="E2" s="29"/>
      <c r="F2" s="29"/>
    </row>
    <row r="3" spans="2:6" x14ac:dyDescent="0.25">
      <c r="B3" s="31" t="s">
        <v>24</v>
      </c>
      <c r="C3" s="29"/>
      <c r="D3" s="29"/>
      <c r="E3" s="29"/>
      <c r="F3" s="29"/>
    </row>
    <row r="5" spans="2:6" ht="21.95" customHeight="1" x14ac:dyDescent="0.25"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7" spans="2:6" ht="20.100000000000001" customHeight="1" x14ac:dyDescent="0.25">
      <c r="B7" s="30" t="s">
        <v>30</v>
      </c>
      <c r="C7" s="29"/>
      <c r="D7" s="29"/>
      <c r="E7" s="29"/>
      <c r="F7" s="29"/>
    </row>
    <row r="8" spans="2:6" x14ac:dyDescent="0.25">
      <c r="B8" s="2" t="s">
        <v>31</v>
      </c>
      <c r="C8" s="6">
        <v>90</v>
      </c>
      <c r="D8" s="7" t="s">
        <v>32</v>
      </c>
      <c r="E8" s="8" t="s">
        <v>33</v>
      </c>
      <c r="F8" s="9" t="s">
        <v>34</v>
      </c>
    </row>
    <row r="9" spans="2:6" x14ac:dyDescent="0.25">
      <c r="B9" s="2" t="s">
        <v>35</v>
      </c>
      <c r="C9" s="6">
        <v>35</v>
      </c>
      <c r="D9" s="7" t="s">
        <v>32</v>
      </c>
      <c r="E9" s="8" t="s">
        <v>33</v>
      </c>
      <c r="F9" s="9" t="s">
        <v>36</v>
      </c>
    </row>
    <row r="10" spans="2:6" x14ac:dyDescent="0.25">
      <c r="B10" s="2" t="s">
        <v>37</v>
      </c>
      <c r="C10" s="6">
        <v>20</v>
      </c>
      <c r="D10" s="7" t="s">
        <v>32</v>
      </c>
      <c r="E10" s="8" t="s">
        <v>33</v>
      </c>
      <c r="F10" s="9"/>
    </row>
    <row r="11" spans="2:6" x14ac:dyDescent="0.25">
      <c r="B11" s="2" t="s">
        <v>38</v>
      </c>
      <c r="C11" s="6">
        <v>5</v>
      </c>
      <c r="D11" s="7" t="s">
        <v>32</v>
      </c>
      <c r="E11" s="8" t="s">
        <v>33</v>
      </c>
      <c r="F11" s="9"/>
    </row>
    <row r="12" spans="2:6" ht="30" x14ac:dyDescent="0.25">
      <c r="B12" s="2" t="s">
        <v>39</v>
      </c>
      <c r="C12" s="10">
        <v>0.5</v>
      </c>
      <c r="D12" s="7" t="s">
        <v>40</v>
      </c>
      <c r="E12" s="8" t="s">
        <v>33</v>
      </c>
      <c r="F12" s="9" t="s">
        <v>41</v>
      </c>
    </row>
    <row r="13" spans="2:6" x14ac:dyDescent="0.25">
      <c r="B13" s="2" t="s">
        <v>42</v>
      </c>
      <c r="C13" s="10">
        <v>7.0000000000000007E-2</v>
      </c>
      <c r="D13" s="7" t="s">
        <v>43</v>
      </c>
      <c r="E13" s="8" t="s">
        <v>33</v>
      </c>
      <c r="F13" s="9" t="s">
        <v>44</v>
      </c>
    </row>
    <row r="14" spans="2:6" x14ac:dyDescent="0.25">
      <c r="B14" s="2" t="s">
        <v>45</v>
      </c>
      <c r="C14" s="10">
        <v>0.03</v>
      </c>
      <c r="D14" s="7" t="s">
        <v>43</v>
      </c>
      <c r="E14" s="8" t="s">
        <v>33</v>
      </c>
      <c r="F14" s="9"/>
    </row>
    <row r="15" spans="2:6" x14ac:dyDescent="0.25">
      <c r="B15" s="2" t="s">
        <v>46</v>
      </c>
      <c r="C15" s="6">
        <v>0.5</v>
      </c>
      <c r="D15" s="7" t="s">
        <v>47</v>
      </c>
      <c r="E15" s="8" t="s">
        <v>33</v>
      </c>
      <c r="F15" s="9" t="s">
        <v>48</v>
      </c>
    </row>
    <row r="16" spans="2:6" x14ac:dyDescent="0.25">
      <c r="B16" s="2" t="s">
        <v>49</v>
      </c>
      <c r="C16" s="11">
        <v>25</v>
      </c>
      <c r="D16" s="7" t="s">
        <v>50</v>
      </c>
      <c r="E16" s="8" t="s">
        <v>33</v>
      </c>
      <c r="F16" s="9" t="s">
        <v>51</v>
      </c>
    </row>
    <row r="18" spans="2:6" ht="20.100000000000001" customHeight="1" x14ac:dyDescent="0.25">
      <c r="B18" s="30" t="s">
        <v>52</v>
      </c>
      <c r="C18" s="29"/>
      <c r="D18" s="29"/>
      <c r="E18" s="29"/>
      <c r="F18" s="29"/>
    </row>
    <row r="19" spans="2:6" x14ac:dyDescent="0.25">
      <c r="B19" s="5" t="s">
        <v>53</v>
      </c>
      <c r="C19" s="12">
        <f>C8+C9+C10+C11</f>
        <v>150</v>
      </c>
      <c r="D19" s="13" t="s">
        <v>32</v>
      </c>
      <c r="E19" s="14" t="s">
        <v>54</v>
      </c>
      <c r="F19" s="14" t="s">
        <v>55</v>
      </c>
    </row>
    <row r="20" spans="2:6" x14ac:dyDescent="0.25">
      <c r="B20" s="2" t="s">
        <v>56</v>
      </c>
      <c r="C20" s="15">
        <f>C10+C11</f>
        <v>25</v>
      </c>
      <c r="D20" s="7" t="s">
        <v>32</v>
      </c>
      <c r="E20" s="16" t="s">
        <v>57</v>
      </c>
      <c r="F20" s="9" t="s">
        <v>58</v>
      </c>
    </row>
    <row r="21" spans="2:6" x14ac:dyDescent="0.25">
      <c r="B21" s="2" t="s">
        <v>59</v>
      </c>
      <c r="C21" s="15">
        <f>C12*C8</f>
        <v>45</v>
      </c>
      <c r="D21" s="7" t="s">
        <v>32</v>
      </c>
      <c r="E21" s="16" t="s">
        <v>60</v>
      </c>
      <c r="F21" s="9" t="s">
        <v>61</v>
      </c>
    </row>
    <row r="22" spans="2:6" x14ac:dyDescent="0.25">
      <c r="B22" s="5" t="s">
        <v>62</v>
      </c>
      <c r="C22" s="12">
        <f>C20+C21</f>
        <v>70</v>
      </c>
      <c r="D22" s="13" t="s">
        <v>32</v>
      </c>
      <c r="E22" s="14" t="s">
        <v>63</v>
      </c>
      <c r="F22" s="14" t="s">
        <v>64</v>
      </c>
    </row>
    <row r="23" spans="2:6" x14ac:dyDescent="0.25">
      <c r="B23" s="2" t="s">
        <v>65</v>
      </c>
      <c r="C23" s="17">
        <f>C22/C19</f>
        <v>0.46666666666666667</v>
      </c>
      <c r="D23" s="7" t="s">
        <v>40</v>
      </c>
      <c r="E23" s="16" t="s">
        <v>66</v>
      </c>
      <c r="F23" s="9" t="s">
        <v>67</v>
      </c>
    </row>
    <row r="24" spans="2:6" x14ac:dyDescent="0.25">
      <c r="B24" s="5" t="s">
        <v>68</v>
      </c>
      <c r="C24" s="18" t="str">
        <f>IF(C19&gt;=50,"UHNW sophisticated — cocok family office multi-disiplin",IF(C19&gt;=5,"HNW","Mass-affluent"))</f>
        <v>UHNW sophisticated — cocok family office multi-disiplin</v>
      </c>
      <c r="D24" s="13" t="s">
        <v>69</v>
      </c>
      <c r="E24" s="14" t="s">
        <v>70</v>
      </c>
      <c r="F24" s="14" t="s">
        <v>71</v>
      </c>
    </row>
    <row r="26" spans="2:6" ht="20.100000000000001" customHeight="1" x14ac:dyDescent="0.25">
      <c r="B26" s="30" t="s">
        <v>72</v>
      </c>
      <c r="C26" s="29"/>
      <c r="D26" s="29"/>
      <c r="E26" s="29"/>
      <c r="F26" s="29"/>
    </row>
    <row r="27" spans="2:6" ht="20.100000000000001" customHeight="1" x14ac:dyDescent="0.25">
      <c r="B27" s="1" t="s">
        <v>73</v>
      </c>
      <c r="C27" s="1" t="s">
        <v>74</v>
      </c>
      <c r="D27" s="1" t="s">
        <v>75</v>
      </c>
      <c r="E27" s="1"/>
      <c r="F27" s="1" t="s">
        <v>76</v>
      </c>
    </row>
    <row r="28" spans="2:6" x14ac:dyDescent="0.25">
      <c r="B28" s="2" t="s">
        <v>77</v>
      </c>
      <c r="C28" s="19">
        <v>0.2</v>
      </c>
      <c r="D28" s="15">
        <f>C28*Kalkulasi!$C$22</f>
        <v>14</v>
      </c>
      <c r="E28" s="20"/>
      <c r="F28" s="9" t="s">
        <v>78</v>
      </c>
    </row>
    <row r="29" spans="2:6" x14ac:dyDescent="0.25">
      <c r="B29" s="2" t="s">
        <v>79</v>
      </c>
      <c r="C29" s="19">
        <v>0.2</v>
      </c>
      <c r="D29" s="15">
        <f>C29*Kalkulasi!$C$22</f>
        <v>14</v>
      </c>
      <c r="E29" s="20"/>
      <c r="F29" s="9" t="s">
        <v>80</v>
      </c>
    </row>
    <row r="30" spans="2:6" x14ac:dyDescent="0.25">
      <c r="B30" s="2" t="s">
        <v>81</v>
      </c>
      <c r="C30" s="19">
        <v>0.25</v>
      </c>
      <c r="D30" s="15">
        <f>C30*Kalkulasi!$C$22</f>
        <v>17.5</v>
      </c>
      <c r="E30" s="20"/>
      <c r="F30" s="9" t="s">
        <v>82</v>
      </c>
    </row>
    <row r="31" spans="2:6" x14ac:dyDescent="0.25">
      <c r="B31" s="2" t="s">
        <v>83</v>
      </c>
      <c r="C31" s="19">
        <v>0.2</v>
      </c>
      <c r="D31" s="15">
        <f>C31*Kalkulasi!$C$22</f>
        <v>14</v>
      </c>
      <c r="E31" s="20"/>
      <c r="F31" s="9" t="s">
        <v>84</v>
      </c>
    </row>
    <row r="32" spans="2:6" x14ac:dyDescent="0.25">
      <c r="B32" s="2" t="s">
        <v>85</v>
      </c>
      <c r="C32" s="19">
        <v>0.05</v>
      </c>
      <c r="D32" s="15">
        <f>C32*Kalkulasi!$C$22</f>
        <v>3.5</v>
      </c>
      <c r="E32" s="20"/>
      <c r="F32" s="9" t="s">
        <v>86</v>
      </c>
    </row>
    <row r="33" spans="2:6" x14ac:dyDescent="0.25">
      <c r="B33" s="2" t="s">
        <v>87</v>
      </c>
      <c r="C33" s="19">
        <v>0.05</v>
      </c>
      <c r="D33" s="15">
        <f>C33*Kalkulasi!$C$22</f>
        <v>3.5</v>
      </c>
      <c r="E33" s="20"/>
      <c r="F33" s="9" t="s">
        <v>88</v>
      </c>
    </row>
    <row r="34" spans="2:6" x14ac:dyDescent="0.25">
      <c r="B34" s="2" t="s">
        <v>89</v>
      </c>
      <c r="C34" s="19">
        <v>0.05</v>
      </c>
      <c r="D34" s="15">
        <f>C34*Kalkulasi!$C$22</f>
        <v>3.5</v>
      </c>
      <c r="E34" s="20"/>
      <c r="F34" s="9" t="s">
        <v>90</v>
      </c>
    </row>
    <row r="35" spans="2:6" x14ac:dyDescent="0.25">
      <c r="B35" s="4" t="s">
        <v>91</v>
      </c>
      <c r="C35" s="21">
        <f>SUM(C28:C34)</f>
        <v>1.0000000000000002</v>
      </c>
      <c r="D35" s="12">
        <f>SUM(D28:D34)</f>
        <v>70</v>
      </c>
      <c r="E35" s="22" t="str">
        <f>IF(ROUND(SUM(C28:C34),4)=1,"OK","Revisi!")</f>
        <v>OK</v>
      </c>
      <c r="F35" s="14" t="s">
        <v>92</v>
      </c>
    </row>
    <row r="37" spans="2:6" ht="20.100000000000001" customHeight="1" x14ac:dyDescent="0.25">
      <c r="B37" s="30" t="s">
        <v>93</v>
      </c>
      <c r="C37" s="29"/>
      <c r="D37" s="29"/>
      <c r="E37" s="29"/>
      <c r="F37" s="29"/>
    </row>
    <row r="38" spans="2:6" x14ac:dyDescent="0.25">
      <c r="B38" s="2" t="s">
        <v>94</v>
      </c>
      <c r="C38" s="15">
        <f>C22*(1+C13)-C15*(1+C14)</f>
        <v>74.385000000000005</v>
      </c>
      <c r="D38" s="7" t="s">
        <v>32</v>
      </c>
      <c r="E38" s="16" t="s">
        <v>95</v>
      </c>
      <c r="F38" s="9" t="s">
        <v>96</v>
      </c>
    </row>
    <row r="39" spans="2:6" x14ac:dyDescent="0.25">
      <c r="B39" s="2" t="s">
        <v>97</v>
      </c>
      <c r="C39" s="15">
        <f>Proyeksi!G10</f>
        <v>95.046421322850023</v>
      </c>
      <c r="D39" s="7" t="s">
        <v>32</v>
      </c>
      <c r="E39" s="16" t="s">
        <v>98</v>
      </c>
      <c r="F39" s="9" t="s">
        <v>99</v>
      </c>
    </row>
    <row r="40" spans="2:6" x14ac:dyDescent="0.25">
      <c r="B40" s="5" t="s">
        <v>100</v>
      </c>
      <c r="C40" s="12">
        <f>Proyeksi!G30</f>
        <v>336.99948041131813</v>
      </c>
      <c r="D40" s="13" t="s">
        <v>32</v>
      </c>
      <c r="E40" s="14" t="s">
        <v>98</v>
      </c>
      <c r="F40" s="14" t="s">
        <v>101</v>
      </c>
    </row>
    <row r="41" spans="2:6" ht="25.5" x14ac:dyDescent="0.25">
      <c r="B41" s="5" t="s">
        <v>102</v>
      </c>
      <c r="C41" s="23">
        <f>C40/Kalkulasi!C22</f>
        <v>4.8142782915902593</v>
      </c>
      <c r="D41" s="13" t="s">
        <v>103</v>
      </c>
      <c r="E41" s="14" t="s">
        <v>104</v>
      </c>
      <c r="F41" s="14" t="s">
        <v>105</v>
      </c>
    </row>
  </sheetData>
  <mergeCells count="6">
    <mergeCell ref="B7:F7"/>
    <mergeCell ref="B2:F2"/>
    <mergeCell ref="B3:F3"/>
    <mergeCell ref="B37:F37"/>
    <mergeCell ref="B26:F26"/>
    <mergeCell ref="B18:F1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2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10" customWidth="1"/>
    <col min="3" max="3" width="12" customWidth="1"/>
    <col min="4" max="4" width="18" customWidth="1"/>
    <col min="5" max="5" width="16" customWidth="1"/>
    <col min="6" max="6" width="18" customWidth="1"/>
    <col min="7" max="7" width="26" customWidth="1"/>
  </cols>
  <sheetData>
    <row r="2" spans="2:7" x14ac:dyDescent="0.25">
      <c r="B2" s="28" t="s">
        <v>106</v>
      </c>
      <c r="C2" s="29"/>
      <c r="D2" s="29"/>
      <c r="E2" s="29"/>
      <c r="F2" s="29"/>
      <c r="G2" s="29"/>
    </row>
    <row r="3" spans="2:7" x14ac:dyDescent="0.25">
      <c r="B3" s="31" t="s">
        <v>107</v>
      </c>
      <c r="C3" s="29"/>
      <c r="D3" s="29"/>
      <c r="E3" s="29"/>
      <c r="F3" s="29"/>
      <c r="G3" s="29"/>
    </row>
    <row r="5" spans="2:7" ht="20.100000000000001" customHeight="1" x14ac:dyDescent="0.25">
      <c r="B5" s="1" t="s">
        <v>108</v>
      </c>
      <c r="C5" s="1" t="s">
        <v>109</v>
      </c>
      <c r="D5" s="1" t="s">
        <v>110</v>
      </c>
      <c r="E5" s="1" t="s">
        <v>111</v>
      </c>
      <c r="F5" s="1" t="s">
        <v>112</v>
      </c>
      <c r="G5" s="1" t="s">
        <v>113</v>
      </c>
    </row>
    <row r="6" spans="2:7" x14ac:dyDescent="0.25">
      <c r="B6" s="24">
        <v>1</v>
      </c>
      <c r="C6" s="24">
        <f t="shared" ref="C6:C30" si="0">59+B6</f>
        <v>60</v>
      </c>
      <c r="D6" s="15">
        <f>Kalkulasi!$C$22</f>
        <v>70</v>
      </c>
      <c r="E6" s="15">
        <f>D6*Kalkulasi!$C$13</f>
        <v>4.9000000000000004</v>
      </c>
      <c r="F6" s="15">
        <f>Kalkulasi!$C$15*(1+Kalkulasi!$C$14)^B6</f>
        <v>0.51500000000000001</v>
      </c>
      <c r="G6" s="15">
        <f t="shared" ref="G6:G30" si="1">D6+E6-F6</f>
        <v>74.385000000000005</v>
      </c>
    </row>
    <row r="7" spans="2:7" x14ac:dyDescent="0.25">
      <c r="B7" s="24">
        <v>2</v>
      </c>
      <c r="C7" s="24">
        <f t="shared" si="0"/>
        <v>61</v>
      </c>
      <c r="D7" s="15">
        <f t="shared" ref="D7:D30" si="2">G6</f>
        <v>74.385000000000005</v>
      </c>
      <c r="E7" s="15">
        <f>D7*Kalkulasi!$C$13</f>
        <v>5.2069500000000009</v>
      </c>
      <c r="F7" s="15">
        <f>Kalkulasi!$C$15*(1+Kalkulasi!$C$14)^B7</f>
        <v>0.53044999999999998</v>
      </c>
      <c r="G7" s="15">
        <f t="shared" si="1"/>
        <v>79.061500000000009</v>
      </c>
    </row>
    <row r="8" spans="2:7" x14ac:dyDescent="0.25">
      <c r="B8" s="24">
        <v>3</v>
      </c>
      <c r="C8" s="24">
        <f t="shared" si="0"/>
        <v>62</v>
      </c>
      <c r="D8" s="15">
        <f t="shared" si="2"/>
        <v>79.061500000000009</v>
      </c>
      <c r="E8" s="15">
        <f>D8*Kalkulasi!$C$13</f>
        <v>5.5343050000000016</v>
      </c>
      <c r="F8" s="15">
        <f>Kalkulasi!$C$15*(1+Kalkulasi!$C$14)^B8</f>
        <v>0.5463635</v>
      </c>
      <c r="G8" s="15">
        <f t="shared" si="1"/>
        <v>84.049441500000015</v>
      </c>
    </row>
    <row r="9" spans="2:7" x14ac:dyDescent="0.25">
      <c r="B9" s="24">
        <v>4</v>
      </c>
      <c r="C9" s="24">
        <f t="shared" si="0"/>
        <v>63</v>
      </c>
      <c r="D9" s="15">
        <f t="shared" si="2"/>
        <v>84.049441500000015</v>
      </c>
      <c r="E9" s="15">
        <f>D9*Kalkulasi!$C$13</f>
        <v>5.8834609050000015</v>
      </c>
      <c r="F9" s="15">
        <f>Kalkulasi!$C$15*(1+Kalkulasi!$C$14)^B9</f>
        <v>0.56275440499999996</v>
      </c>
      <c r="G9" s="15">
        <f t="shared" si="1"/>
        <v>89.370148000000015</v>
      </c>
    </row>
    <row r="10" spans="2:7" x14ac:dyDescent="0.25">
      <c r="B10" s="24">
        <v>5</v>
      </c>
      <c r="C10" s="24">
        <f t="shared" si="0"/>
        <v>64</v>
      </c>
      <c r="D10" s="15">
        <f t="shared" si="2"/>
        <v>89.370148000000015</v>
      </c>
      <c r="E10" s="15">
        <f>D10*Kalkulasi!$C$13</f>
        <v>6.2559103600000014</v>
      </c>
      <c r="F10" s="15">
        <f>Kalkulasi!$C$15*(1+Kalkulasi!$C$14)^B10</f>
        <v>0.57963703714999992</v>
      </c>
      <c r="G10" s="15">
        <f t="shared" si="1"/>
        <v>95.046421322850023</v>
      </c>
    </row>
    <row r="11" spans="2:7" x14ac:dyDescent="0.25">
      <c r="B11" s="24">
        <v>6</v>
      </c>
      <c r="C11" s="24">
        <f t="shared" si="0"/>
        <v>65</v>
      </c>
      <c r="D11" s="15">
        <f t="shared" si="2"/>
        <v>95.046421322850023</v>
      </c>
      <c r="E11" s="15">
        <f>D11*Kalkulasi!$C$13</f>
        <v>6.6532494925995023</v>
      </c>
      <c r="F11" s="15">
        <f>Kalkulasi!$C$15*(1+Kalkulasi!$C$14)^B11</f>
        <v>0.59702614826449996</v>
      </c>
      <c r="G11" s="15">
        <f t="shared" si="1"/>
        <v>101.10264466718502</v>
      </c>
    </row>
    <row r="12" spans="2:7" x14ac:dyDescent="0.25">
      <c r="B12" s="24">
        <v>7</v>
      </c>
      <c r="C12" s="24">
        <f t="shared" si="0"/>
        <v>66</v>
      </c>
      <c r="D12" s="15">
        <f t="shared" si="2"/>
        <v>101.10264466718502</v>
      </c>
      <c r="E12" s="15">
        <f>D12*Kalkulasi!$C$13</f>
        <v>7.0771851267029522</v>
      </c>
      <c r="F12" s="15">
        <f>Kalkulasi!$C$15*(1+Kalkulasi!$C$14)^B12</f>
        <v>0.61493693271243499</v>
      </c>
      <c r="G12" s="15">
        <f t="shared" si="1"/>
        <v>107.56489286117554</v>
      </c>
    </row>
    <row r="13" spans="2:7" x14ac:dyDescent="0.25">
      <c r="B13" s="24">
        <v>8</v>
      </c>
      <c r="C13" s="24">
        <f t="shared" si="0"/>
        <v>67</v>
      </c>
      <c r="D13" s="15">
        <f t="shared" si="2"/>
        <v>107.56489286117554</v>
      </c>
      <c r="E13" s="15">
        <f>D13*Kalkulasi!$C$13</f>
        <v>7.5295425002822887</v>
      </c>
      <c r="F13" s="15">
        <f>Kalkulasi!$C$15*(1+Kalkulasi!$C$14)^B13</f>
        <v>0.63338504069380797</v>
      </c>
      <c r="G13" s="15">
        <f t="shared" si="1"/>
        <v>114.46105032076402</v>
      </c>
    </row>
    <row r="14" spans="2:7" x14ac:dyDescent="0.25">
      <c r="B14" s="24">
        <v>9</v>
      </c>
      <c r="C14" s="24">
        <f t="shared" si="0"/>
        <v>68</v>
      </c>
      <c r="D14" s="15">
        <f t="shared" si="2"/>
        <v>114.46105032076402</v>
      </c>
      <c r="E14" s="15">
        <f>D14*Kalkulasi!$C$13</f>
        <v>8.0122735224534818</v>
      </c>
      <c r="F14" s="15">
        <f>Kalkulasi!$C$15*(1+Kalkulasi!$C$14)^B14</f>
        <v>0.65238659191462223</v>
      </c>
      <c r="G14" s="15">
        <f t="shared" si="1"/>
        <v>121.82093725130288</v>
      </c>
    </row>
    <row r="15" spans="2:7" x14ac:dyDescent="0.25">
      <c r="B15" s="24">
        <v>10</v>
      </c>
      <c r="C15" s="24">
        <f t="shared" si="0"/>
        <v>69</v>
      </c>
      <c r="D15" s="15">
        <f t="shared" si="2"/>
        <v>121.82093725130288</v>
      </c>
      <c r="E15" s="15">
        <f>D15*Kalkulasi!$C$13</f>
        <v>8.5274656075912016</v>
      </c>
      <c r="F15" s="15">
        <f>Kalkulasi!$C$15*(1+Kalkulasi!$C$14)^B15</f>
        <v>0.67195818967206089</v>
      </c>
      <c r="G15" s="15">
        <f t="shared" si="1"/>
        <v>129.67644466922201</v>
      </c>
    </row>
    <row r="16" spans="2:7" x14ac:dyDescent="0.25">
      <c r="B16" s="24">
        <v>11</v>
      </c>
      <c r="C16" s="24">
        <f t="shared" si="0"/>
        <v>70</v>
      </c>
      <c r="D16" s="15">
        <f t="shared" si="2"/>
        <v>129.67644466922201</v>
      </c>
      <c r="E16" s="15">
        <f>D16*Kalkulasi!$C$13</f>
        <v>9.0773511268455422</v>
      </c>
      <c r="F16" s="15">
        <f>Kalkulasi!$C$15*(1+Kalkulasi!$C$14)^B16</f>
        <v>0.69211693536222274</v>
      </c>
      <c r="G16" s="15">
        <f t="shared" si="1"/>
        <v>138.06167886070531</v>
      </c>
    </row>
    <row r="17" spans="2:7" x14ac:dyDescent="0.25">
      <c r="B17" s="24">
        <v>12</v>
      </c>
      <c r="C17" s="24">
        <f t="shared" si="0"/>
        <v>71</v>
      </c>
      <c r="D17" s="15">
        <f t="shared" si="2"/>
        <v>138.06167886070531</v>
      </c>
      <c r="E17" s="15">
        <f>D17*Kalkulasi!$C$13</f>
        <v>9.664317520249373</v>
      </c>
      <c r="F17" s="15">
        <f>Kalkulasi!$C$15*(1+Kalkulasi!$C$14)^B17</f>
        <v>0.71288044342308932</v>
      </c>
      <c r="G17" s="15">
        <f t="shared" si="1"/>
        <v>147.01311593753158</v>
      </c>
    </row>
    <row r="18" spans="2:7" x14ac:dyDescent="0.25">
      <c r="B18" s="24">
        <v>13</v>
      </c>
      <c r="C18" s="24">
        <f t="shared" si="0"/>
        <v>72</v>
      </c>
      <c r="D18" s="15">
        <f t="shared" si="2"/>
        <v>147.01311593753158</v>
      </c>
      <c r="E18" s="15">
        <f>D18*Kalkulasi!$C$13</f>
        <v>10.290918115627212</v>
      </c>
      <c r="F18" s="15">
        <f>Kalkulasi!$C$15*(1+Kalkulasi!$C$14)^B18</f>
        <v>0.73426685672578196</v>
      </c>
      <c r="G18" s="15">
        <f t="shared" si="1"/>
        <v>156.56976719643302</v>
      </c>
    </row>
    <row r="19" spans="2:7" x14ac:dyDescent="0.25">
      <c r="B19" s="24">
        <v>14</v>
      </c>
      <c r="C19" s="24">
        <f t="shared" si="0"/>
        <v>73</v>
      </c>
      <c r="D19" s="15">
        <f t="shared" si="2"/>
        <v>156.56976719643302</v>
      </c>
      <c r="E19" s="15">
        <f>D19*Kalkulasi!$C$13</f>
        <v>10.959883703750313</v>
      </c>
      <c r="F19" s="15">
        <f>Kalkulasi!$C$15*(1+Kalkulasi!$C$14)^B19</f>
        <v>0.7562948624275555</v>
      </c>
      <c r="G19" s="15">
        <f t="shared" si="1"/>
        <v>166.77335603775578</v>
      </c>
    </row>
    <row r="20" spans="2:7" x14ac:dyDescent="0.25">
      <c r="B20" s="24">
        <v>15</v>
      </c>
      <c r="C20" s="24">
        <f t="shared" si="0"/>
        <v>74</v>
      </c>
      <c r="D20" s="15">
        <f t="shared" si="2"/>
        <v>166.77335603775578</v>
      </c>
      <c r="E20" s="15">
        <f>D20*Kalkulasi!$C$13</f>
        <v>11.674134922642905</v>
      </c>
      <c r="F20" s="15">
        <f>Kalkulasi!$C$15*(1+Kalkulasi!$C$14)^B20</f>
        <v>0.77898370830038222</v>
      </c>
      <c r="G20" s="15">
        <f t="shared" si="1"/>
        <v>177.66850725209829</v>
      </c>
    </row>
    <row r="21" spans="2:7" x14ac:dyDescent="0.25">
      <c r="B21" s="24">
        <v>16</v>
      </c>
      <c r="C21" s="24">
        <f t="shared" si="0"/>
        <v>75</v>
      </c>
      <c r="D21" s="15">
        <f t="shared" si="2"/>
        <v>177.66850725209829</v>
      </c>
      <c r="E21" s="15">
        <f>D21*Kalkulasi!$C$13</f>
        <v>12.436795507646881</v>
      </c>
      <c r="F21" s="15">
        <f>Kalkulasi!$C$15*(1+Kalkulasi!$C$14)^B21</f>
        <v>0.80235321954939354</v>
      </c>
      <c r="G21" s="15">
        <f t="shared" si="1"/>
        <v>189.30294954019578</v>
      </c>
    </row>
    <row r="22" spans="2:7" x14ac:dyDescent="0.25">
      <c r="B22" s="24">
        <v>17</v>
      </c>
      <c r="C22" s="24">
        <f t="shared" si="0"/>
        <v>76</v>
      </c>
      <c r="D22" s="15">
        <f t="shared" si="2"/>
        <v>189.30294954019578</v>
      </c>
      <c r="E22" s="15">
        <f>D22*Kalkulasi!$C$13</f>
        <v>13.251206467813706</v>
      </c>
      <c r="F22" s="15">
        <f>Kalkulasi!$C$15*(1+Kalkulasi!$C$14)^B22</f>
        <v>0.82642381613587534</v>
      </c>
      <c r="G22" s="15">
        <f t="shared" si="1"/>
        <v>201.72773219187363</v>
      </c>
    </row>
    <row r="23" spans="2:7" x14ac:dyDescent="0.25">
      <c r="B23" s="24">
        <v>18</v>
      </c>
      <c r="C23" s="24">
        <f t="shared" si="0"/>
        <v>77</v>
      </c>
      <c r="D23" s="15">
        <f t="shared" si="2"/>
        <v>201.72773219187363</v>
      </c>
      <c r="E23" s="15">
        <f>D23*Kalkulasi!$C$13</f>
        <v>14.120941253431155</v>
      </c>
      <c r="F23" s="15">
        <f>Kalkulasi!$C$15*(1+Kalkulasi!$C$14)^B23</f>
        <v>0.85121653061995162</v>
      </c>
      <c r="G23" s="15">
        <f t="shared" si="1"/>
        <v>214.99745691468482</v>
      </c>
    </row>
    <row r="24" spans="2:7" x14ac:dyDescent="0.25">
      <c r="B24" s="24">
        <v>19</v>
      </c>
      <c r="C24" s="24">
        <f t="shared" si="0"/>
        <v>78</v>
      </c>
      <c r="D24" s="15">
        <f t="shared" si="2"/>
        <v>214.99745691468482</v>
      </c>
      <c r="E24" s="15">
        <f>D24*Kalkulasi!$C$13</f>
        <v>15.049821984027938</v>
      </c>
      <c r="F24" s="15">
        <f>Kalkulasi!$C$15*(1+Kalkulasi!$C$14)^B24</f>
        <v>0.87675302653855014</v>
      </c>
      <c r="G24" s="15">
        <f t="shared" si="1"/>
        <v>229.17052587217421</v>
      </c>
    </row>
    <row r="25" spans="2:7" x14ac:dyDescent="0.25">
      <c r="B25" s="24">
        <v>20</v>
      </c>
      <c r="C25" s="24">
        <f t="shared" si="0"/>
        <v>79</v>
      </c>
      <c r="D25" s="15">
        <f t="shared" si="2"/>
        <v>229.17052587217421</v>
      </c>
      <c r="E25" s="15">
        <f>D25*Kalkulasi!$C$13</f>
        <v>16.041936811052196</v>
      </c>
      <c r="F25" s="15">
        <f>Kalkulasi!$C$15*(1+Kalkulasi!$C$14)^B25</f>
        <v>0.90305561733470663</v>
      </c>
      <c r="G25" s="15">
        <f t="shared" si="1"/>
        <v>244.30940706589172</v>
      </c>
    </row>
    <row r="26" spans="2:7" x14ac:dyDescent="0.25">
      <c r="B26" s="24">
        <v>21</v>
      </c>
      <c r="C26" s="24">
        <f t="shared" si="0"/>
        <v>80</v>
      </c>
      <c r="D26" s="15">
        <f t="shared" si="2"/>
        <v>244.30940706589172</v>
      </c>
      <c r="E26" s="15">
        <f>D26*Kalkulasi!$C$13</f>
        <v>17.101658494612423</v>
      </c>
      <c r="F26" s="15">
        <f>Kalkulasi!$C$15*(1+Kalkulasi!$C$14)^B26</f>
        <v>0.93014728585474771</v>
      </c>
      <c r="G26" s="15">
        <f t="shared" si="1"/>
        <v>260.48091827464941</v>
      </c>
    </row>
    <row r="27" spans="2:7" x14ac:dyDescent="0.25">
      <c r="B27" s="24">
        <v>22</v>
      </c>
      <c r="C27" s="24">
        <f t="shared" si="0"/>
        <v>81</v>
      </c>
      <c r="D27" s="15">
        <f t="shared" si="2"/>
        <v>260.48091827464941</v>
      </c>
      <c r="E27" s="15">
        <f>D27*Kalkulasi!$C$13</f>
        <v>18.233664279225462</v>
      </c>
      <c r="F27" s="15">
        <f>Kalkulasi!$C$15*(1+Kalkulasi!$C$14)^B27</f>
        <v>0.95805170443039023</v>
      </c>
      <c r="G27" s="15">
        <f t="shared" si="1"/>
        <v>277.75653084944452</v>
      </c>
    </row>
    <row r="28" spans="2:7" x14ac:dyDescent="0.25">
      <c r="B28" s="24">
        <v>23</v>
      </c>
      <c r="C28" s="24">
        <f t="shared" si="0"/>
        <v>82</v>
      </c>
      <c r="D28" s="15">
        <f t="shared" si="2"/>
        <v>277.75653084944452</v>
      </c>
      <c r="E28" s="15">
        <f>D28*Kalkulasi!$C$13</f>
        <v>19.44295715946112</v>
      </c>
      <c r="F28" s="15">
        <f>Kalkulasi!$C$15*(1+Kalkulasi!$C$14)^B28</f>
        <v>0.986793255563302</v>
      </c>
      <c r="G28" s="15">
        <f t="shared" si="1"/>
        <v>296.2126947533423</v>
      </c>
    </row>
    <row r="29" spans="2:7" x14ac:dyDescent="0.25">
      <c r="B29" s="24">
        <v>24</v>
      </c>
      <c r="C29" s="24">
        <f t="shared" si="0"/>
        <v>83</v>
      </c>
      <c r="D29" s="15">
        <f t="shared" si="2"/>
        <v>296.2126947533423</v>
      </c>
      <c r="E29" s="15">
        <f>D29*Kalkulasi!$C$13</f>
        <v>20.734888632733963</v>
      </c>
      <c r="F29" s="15">
        <f>Kalkulasi!$C$15*(1+Kalkulasi!$C$14)^B29</f>
        <v>1.0163970532302009</v>
      </c>
      <c r="G29" s="15">
        <f t="shared" si="1"/>
        <v>315.93118633284604</v>
      </c>
    </row>
    <row r="30" spans="2:7" x14ac:dyDescent="0.25">
      <c r="B30" s="24">
        <v>25</v>
      </c>
      <c r="C30" s="24">
        <f t="shared" si="0"/>
        <v>84</v>
      </c>
      <c r="D30" s="15">
        <f t="shared" si="2"/>
        <v>315.93118633284604</v>
      </c>
      <c r="E30" s="15">
        <f>D30*Kalkulasi!$C$13</f>
        <v>22.115183043299226</v>
      </c>
      <c r="F30" s="15">
        <f>Kalkulasi!$C$15*(1+Kalkulasi!$C$14)^B30</f>
        <v>1.0468889648271069</v>
      </c>
      <c r="G30" s="15">
        <f t="shared" si="1"/>
        <v>336.99948041131813</v>
      </c>
    </row>
    <row r="32" spans="2:7" x14ac:dyDescent="0.25">
      <c r="B32" s="32" t="s">
        <v>114</v>
      </c>
      <c r="C32" s="27"/>
      <c r="D32" s="12">
        <f>G30</f>
        <v>336.99948041131813</v>
      </c>
      <c r="E32" s="25">
        <f>G30/Kalkulasi!$C$22</f>
        <v>4.8142782915902593</v>
      </c>
      <c r="F32" s="33" t="s">
        <v>115</v>
      </c>
      <c r="G32" s="27"/>
    </row>
  </sheetData>
  <mergeCells count="4">
    <mergeCell ref="B3:G3"/>
    <mergeCell ref="B2:G2"/>
    <mergeCell ref="B32:C32"/>
    <mergeCell ref="F32:G3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Kalkulasi</vt:lpstr>
      <vt:lpstr>Proyeksi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2026-08-14T17:26:04Z</dcterms:modified>
</cp:coreProperties>
</file>