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28CAE40DCBF9F7E0B24CA58FE8E44AEC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2" l="1"/>
  <c r="D41" i="2"/>
  <c r="F41" i="2" s="1"/>
  <c r="G41" i="2" s="1"/>
  <c r="C41" i="2"/>
  <c r="E40" i="2"/>
  <c r="D40" i="2"/>
  <c r="F40" i="2" s="1"/>
  <c r="C40" i="2"/>
  <c r="E39" i="2"/>
  <c r="D39" i="2"/>
  <c r="F39" i="2" s="1"/>
  <c r="G39" i="2" s="1"/>
  <c r="C39" i="2"/>
  <c r="E38" i="2"/>
  <c r="D38" i="2"/>
  <c r="C38" i="2"/>
  <c r="E37" i="2"/>
  <c r="D37" i="2"/>
  <c r="C37" i="2"/>
  <c r="E36" i="2"/>
  <c r="D36" i="2"/>
  <c r="C36" i="2"/>
  <c r="C24" i="2"/>
  <c r="C18" i="2"/>
  <c r="C17" i="2"/>
  <c r="C16" i="2"/>
  <c r="C19" i="2" s="1"/>
  <c r="F37" i="2" l="1"/>
  <c r="G37" i="2" s="1"/>
  <c r="H39" i="2"/>
  <c r="F38" i="2"/>
  <c r="G38" i="2" s="1"/>
  <c r="F36" i="2"/>
  <c r="G36" i="2" s="1"/>
  <c r="G40" i="2"/>
  <c r="H40" i="2"/>
  <c r="H41" i="2"/>
  <c r="H37" i="2"/>
  <c r="H38" i="2"/>
  <c r="C23" i="2"/>
  <c r="C20" i="2"/>
  <c r="C22" i="2" s="1"/>
  <c r="C21" i="2"/>
  <c r="H36" i="2"/>
  <c r="C46" i="2" l="1"/>
  <c r="C25" i="2"/>
  <c r="C29" i="2"/>
  <c r="C30" i="2"/>
  <c r="C13" i="1" s="1"/>
  <c r="C44" i="2"/>
  <c r="C45" i="2"/>
  <c r="C15" i="1" s="1"/>
  <c r="C52" i="2"/>
  <c r="C17" i="1" s="1"/>
  <c r="C50" i="2"/>
  <c r="C51" i="2"/>
  <c r="C16" i="1" s="1"/>
  <c r="C47" i="2"/>
  <c r="C53" i="2" l="1"/>
  <c r="C14" i="1"/>
  <c r="C12" i="1"/>
  <c r="C31" i="2"/>
  <c r="C11" i="1"/>
  <c r="C26" i="2"/>
</calcChain>
</file>

<file path=xl/sharedStrings.xml><?xml version="1.0" encoding="utf-8"?>
<sst xmlns="http://schemas.openxmlformats.org/spreadsheetml/2006/main" count="124" uniqueCount="116">
  <si>
    <t>GREEKS CALCULATOR — MANAJEMEN RISIKO PASAR</t>
  </si>
  <si>
    <t>Magister Manajemen · Manajemen Risiko Pasar · Pertemuan 8  ·  Sumber contoh: deck pertemuan-08.md (Sensitivity Analysis &amp; Greeks Dasar — Delta, Gamma, Vega)</t>
  </si>
  <si>
    <t>CONTOH PADA DECK (ANGKA SAMA)</t>
  </si>
  <si>
    <t>Skenario deck</t>
  </si>
  <si>
    <t>Call BBCA ATM: S = K = Rp 8.000, T = 0,25 thn, r = 6,5%, sigma = 20%</t>
  </si>
  <si>
    <t>Hasil deck</t>
  </si>
  <si>
    <t>d1 ~ 0,213; delta call +0,578..0,584; delta put -0,422..-0,416; hedge short 0,58 saham</t>
  </si>
  <si>
    <t>Gamma deck</t>
  </si>
  <si>
    <t>N'(d1) = 0,3906; gamma = 0,3906/800 = 0,000488 per Rp; vega = S x sqrt(T) x N'(d1)</t>
  </si>
  <si>
    <t>HASIL UTAMA — LIVE DARI SHEET KALKULASI</t>
  </si>
  <si>
    <t>Harga call (BSM)</t>
  </si>
  <si>
    <t>rumus hidup — ikut berubah saat INPUT diedit</t>
  </si>
  <si>
    <t>Delta call = N(d1)</t>
  </si>
  <si>
    <t>Delta put = N(d1) - 1</t>
  </si>
  <si>
    <t>Gamma closed-form (per Rp)</t>
  </si>
  <si>
    <t>Gamma finite difference</t>
  </si>
  <si>
    <t>Vega per 1% vol (Rp)</t>
  </si>
  <si>
    <t>Theta per hari (Rp)</t>
  </si>
  <si>
    <t>CATATAN</t>
  </si>
  <si>
    <t>Tabel deck memakai d1 = 0,205 (pembulatan); catatan pengajar deck memakai 0,213 — template menghitung eksak d1 = 0,2125 sehingga delta call = 0,5842 dan delta put = -0,4158.</t>
  </si>
  <si>
    <t>Finite difference memakai bump input (h_S, h_sigma, h_t) — kurangi bump untuk hasil lebih dekat closed-form.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</si>
  <si>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</si>
  <si>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</si>
  <si>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</si>
  <si>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</si>
  <si>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</si>
  <si>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</si>
  <si>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</si>
  <si>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</si>
  <si>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</si>
  <si>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</si>
  <si>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GREEKS CALCULATOR — DELTA, GAMMA, VEGA, THETA</t>
  </si>
  <si>
    <t>Deck P8: call BBCA S = K = Rp 8.000 (ATM), T = 3 bulan (0,25 thn), r = 6,5%, sigma = 20%. Closed-form + finite difference bertahap.</t>
  </si>
  <si>
    <t>INPUT BSM — ubah sel kuning muda</t>
  </si>
  <si>
    <t>Harga underlying S (Rp)</t>
  </si>
  <si>
    <t>deck: Rp 8.000</t>
  </si>
  <si>
    <t>Strike K (Rp)</t>
  </si>
  <si>
    <t>ATM: S = K</t>
  </si>
  <si>
    <t>Waktu jatuh tempo T (tahun)</t>
  </si>
  <si>
    <t>3 bulan = 0,25 tahun</t>
  </si>
  <si>
    <t>Suku bunga bebas risiko r</t>
  </si>
  <si>
    <t>deck: 6,5%/tahun</t>
  </si>
  <si>
    <t>Volatilitas sigma (tahunan)</t>
  </si>
  <si>
    <t>deck: 20%</t>
  </si>
  <si>
    <t>Bump harga h_S (Rp)</t>
  </si>
  <si>
    <t>increment finite difference S</t>
  </si>
  <si>
    <t>Bump vol h_sigma</t>
  </si>
  <si>
    <t>1 poin volatilitas</t>
  </si>
  <si>
    <t>Bump waktu h_t (hari)</t>
  </si>
  <si>
    <t>1 hari = 1/365 tahun</t>
  </si>
  <si>
    <t>A. BLACK-SCHOLES-MERTON — LANGKAH BERTAHAP</t>
  </si>
  <si>
    <t>1. ln(S/K)</t>
  </si>
  <si>
    <t>ATM -&gt; 0</t>
  </si>
  <si>
    <t>2. (r + sigma^2/2) x T</t>
  </si>
  <si>
    <t>drift risk-neutral</t>
  </si>
  <si>
    <t>3. sigma x SQRT(T)</t>
  </si>
  <si>
    <t>penyebut d1</t>
  </si>
  <si>
    <t>4. d1 = [ln(S/K)+(r+sigma^2/2)T] / (sigma SQRT(T))</t>
  </si>
  <si>
    <t>deck: 0,213 (tabel deck menulis 0,205)</t>
  </si>
  <si>
    <t>5. d2 = d1 - sigma SQRT(T)</t>
  </si>
  <si>
    <t>6. N(d1) = NORM.S.DIST(d1;TRUE)</t>
  </si>
  <si>
    <t>CDF normal (deck: 0,5812-0,5842)</t>
  </si>
  <si>
    <t>7. N(d2)</t>
  </si>
  <si>
    <t>probabilitas eksekusi</t>
  </si>
  <si>
    <t>8. N'(d1) = NORM.S.DIST(d1;FALSE)</t>
  </si>
  <si>
    <t>PDF normal (deck: 0,3906)</t>
  </si>
  <si>
    <t>9. Diskonto e^(-rT)</t>
  </si>
  <si>
    <t>10. Harga CALL = S N(d1) - K e^(-rT) N(d2)</t>
  </si>
  <si>
    <t>BSM 1973</t>
  </si>
  <si>
    <t>11. Harga PUT (paritas) = C - S + K e^(-rT)</t>
  </si>
  <si>
    <t>put-call parity</t>
  </si>
  <si>
    <t>B. HITUNG DARI NOL DECK — DELTA CALL &amp; PUT + HEDGE</t>
  </si>
  <si>
    <t>deck: +0,578 (call bergerak 57,8% dari underlying)</t>
  </si>
  <si>
    <t>deck: -0,422 (bergerak -42,2%)</t>
  </si>
  <si>
    <t>Hedge ratio 1 call</t>
  </si>
  <si>
    <t>deck: short 0,58 saham BBCA per 1 call utk netral delta</t>
  </si>
  <si>
    <t>C. FINITE DIFFERENCE — TABEL BERTAHAP</t>
  </si>
  <si>
    <t>Ganggu (bump) satu parameter, hitung ulang C dengan formula BSM penuh, lalu ambil selisihnya. Semua sel tabel = formula hidup.</t>
  </si>
  <si>
    <t>Skenario</t>
  </si>
  <si>
    <t>S</t>
  </si>
  <si>
    <t>sigma</t>
  </si>
  <si>
    <t>T</t>
  </si>
  <si>
    <t>d1</t>
  </si>
  <si>
    <t>d2</t>
  </si>
  <si>
    <t>Harga C (Rp)</t>
  </si>
  <si>
    <t>Catatan</t>
  </si>
  <si>
    <t>Basis (input)</t>
  </si>
  <si>
    <t>posisi awal</t>
  </si>
  <si>
    <t>S + h_S</t>
  </si>
  <si>
    <t>harga naik</t>
  </si>
  <si>
    <t>S - h_S</t>
  </si>
  <si>
    <t>harga turun</t>
  </si>
  <si>
    <t>sigma + h_sigma</t>
  </si>
  <si>
    <t>vol naik 1 poin</t>
  </si>
  <si>
    <t>sigma - h_sigma</t>
  </si>
  <si>
    <t>vol turun 1 poin</t>
  </si>
  <si>
    <t>T - h_t</t>
  </si>
  <si>
    <t>waktu 1 hari lebih pendek</t>
  </si>
  <si>
    <t>GREEKS DARI FINITE DIFFERENCE (deck: delta-gamma-vega-theta)</t>
  </si>
  <si>
    <t>Delta FD = (C(S+h) - C(S-h)) / (2h)</t>
  </si>
  <si>
    <t>sama dgn N(d1) utk opsi Eropa</t>
  </si>
  <si>
    <t>Gamma FD = (C(S+h) - 2C + C(S-h)) / h^2</t>
  </si>
  <si>
    <t>kecepatan perubahan delta</t>
  </si>
  <si>
    <t>Vega FD per 1% = (C(sig+h) - C(sig-h)) / 2 / 100</t>
  </si>
  <si>
    <t>Rp per 1 poin vol</t>
  </si>
  <si>
    <t>Theta FD per hari = C(T - 1 hari) - C(T)</t>
  </si>
  <si>
    <t>negatif = time decay pembeli</t>
  </si>
  <si>
    <t>BANDING CLOSED-FORM (rumus deck)</t>
  </si>
  <si>
    <t>Gamma = N'(d1) / (S sigma SQRT(T))</t>
  </si>
  <si>
    <t>deck: 0,3906/800 = 0,000488 per Rp</t>
  </si>
  <si>
    <t>Vega per 1% = S SQRT(T) N'(d1) / 100</t>
  </si>
  <si>
    <t>deck: vega = S x sqrt(T) x N'(d1)</t>
  </si>
  <si>
    <t>Theta/hari = [-S sigma N'(d1)/(2 sqrt(T)) - r K e^(-rT) N(d2)] / 365</t>
  </si>
  <si>
    <t>theta call per hari</t>
  </si>
  <si>
    <t>Interpretasi gamma deck: delta naik jika S naik 1.000</t>
  </si>
  <si>
    <t>deck: +0,488 (valid utr perubahan kecil; utk besar perlu revaluasi penuh)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</si>
</sst>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p&quot;#,##0"/>
    <numFmt numFmtId="165" formatCode="0.0%"/>
    <numFmt numFmtId="166" formatCode="0.0000"/>
    <numFmt numFmtId="167" formatCode="&quot;Rp&quot;#,##0.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7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168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7" fontId="6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7" t="s">
        <v>0</v>
      </c>
      <c r="C2" s="26"/>
      <c r="D2" s="26"/>
      <c r="E2" s="26"/>
    </row>
    <row r="3" spans="2:5" ht="30" customHeight="1" x14ac:dyDescent="0.25">
      <c r="B3" s="31" t="s">
        <v>1</v>
      </c>
      <c r="C3" s="26"/>
      <c r="D3" s="26"/>
      <c r="E3" s="26"/>
    </row>
    <row r="5" spans="2:5" ht="21.95" customHeight="1" x14ac:dyDescent="0.25">
      <c r="B5" s="27" t="s">
        <v>2</v>
      </c>
      <c r="C5" s="26"/>
      <c r="D5" s="26"/>
      <c r="E5" s="26"/>
    </row>
    <row r="6" spans="2:5" x14ac:dyDescent="0.25">
      <c r="B6" s="1" t="s">
        <v>3</v>
      </c>
      <c r="C6" s="29" t="s">
        <v>4</v>
      </c>
      <c r="D6" s="30"/>
      <c r="E6" s="24"/>
    </row>
    <row r="7" spans="2:5" x14ac:dyDescent="0.25">
      <c r="B7" s="1" t="s">
        <v>5</v>
      </c>
      <c r="C7" s="29" t="s">
        <v>6</v>
      </c>
      <c r="D7" s="30"/>
      <c r="E7" s="24"/>
    </row>
    <row r="8" spans="2:5" x14ac:dyDescent="0.25">
      <c r="B8" s="1" t="s">
        <v>7</v>
      </c>
      <c r="C8" s="29" t="s">
        <v>8</v>
      </c>
      <c r="D8" s="30"/>
      <c r="E8" s="24"/>
    </row>
    <row r="10" spans="2:5" ht="21.95" customHeight="1" x14ac:dyDescent="0.25">
      <c r="B10" s="27" t="s">
        <v>9</v>
      </c>
      <c r="C10" s="26"/>
      <c r="D10" s="26"/>
      <c r="E10" s="26"/>
    </row>
    <row r="11" spans="2:5" x14ac:dyDescent="0.25">
      <c r="B11" s="2" t="s">
        <v>10</v>
      </c>
      <c r="C11" s="28">
        <f>Kalkulasi!C25</f>
        <v>385.08988835193486</v>
      </c>
      <c r="D11" s="24"/>
      <c r="E11" s="4" t="s">
        <v>11</v>
      </c>
    </row>
    <row r="12" spans="2:5" x14ac:dyDescent="0.25">
      <c r="B12" s="2" t="s">
        <v>12</v>
      </c>
      <c r="C12" s="32">
        <f>Kalkulasi!C29</f>
        <v>0.5841415111090924</v>
      </c>
      <c r="D12" s="24"/>
      <c r="E12" s="4" t="s">
        <v>11</v>
      </c>
    </row>
    <row r="13" spans="2:5" x14ac:dyDescent="0.25">
      <c r="B13" s="2" t="s">
        <v>13</v>
      </c>
      <c r="C13" s="32">
        <f>Kalkulasi!C30</f>
        <v>-0.4158584888909076</v>
      </c>
      <c r="D13" s="24"/>
      <c r="E13" s="4" t="s">
        <v>11</v>
      </c>
    </row>
    <row r="14" spans="2:5" x14ac:dyDescent="0.25">
      <c r="B14" s="2" t="s">
        <v>14</v>
      </c>
      <c r="C14" s="23">
        <f>Kalkulasi!C50</f>
        <v>4.8754479436407259E-4</v>
      </c>
      <c r="D14" s="24"/>
      <c r="E14" s="4" t="s">
        <v>11</v>
      </c>
    </row>
    <row r="15" spans="2:5" x14ac:dyDescent="0.25">
      <c r="B15" s="2" t="s">
        <v>15</v>
      </c>
      <c r="C15" s="23">
        <f>Kalkulasi!C45</f>
        <v>4.8699239217644388E-4</v>
      </c>
      <c r="D15" s="24"/>
      <c r="E15" s="4" t="s">
        <v>11</v>
      </c>
    </row>
    <row r="16" spans="2:5" x14ac:dyDescent="0.25">
      <c r="B16" s="2" t="s">
        <v>16</v>
      </c>
      <c r="C16" s="28">
        <f>Kalkulasi!C51</f>
        <v>15.601433419650323</v>
      </c>
      <c r="D16" s="24"/>
      <c r="E16" s="4" t="s">
        <v>11</v>
      </c>
    </row>
    <row r="17" spans="2:5" x14ac:dyDescent="0.25">
      <c r="B17" s="2" t="s">
        <v>17</v>
      </c>
      <c r="C17" s="28">
        <f>Kalkulasi!C52</f>
        <v>-2.4733700816982611</v>
      </c>
      <c r="D17" s="24"/>
      <c r="E17" s="4" t="s">
        <v>11</v>
      </c>
    </row>
    <row r="19" spans="2:5" ht="21.95" customHeight="1" x14ac:dyDescent="0.25">
      <c r="B19" s="27" t="s">
        <v>18</v>
      </c>
      <c r="C19" s="26"/>
      <c r="D19" s="26"/>
      <c r="E19" s="26"/>
    </row>
    <row r="20" spans="2:5" x14ac:dyDescent="0.25">
      <c r="B20" s="25" t="s">
        <v>19</v>
      </c>
      <c r="C20" s="26"/>
      <c r="D20" s="26"/>
      <c r="E20" s="26"/>
    </row>
    <row r="21" spans="2:5" x14ac:dyDescent="0.25">
      <c r="B21" s="25" t="s">
        <v>20</v>
      </c>
      <c r="C21" s="26"/>
      <c r="D21" s="26"/>
      <c r="E21" s="26"/>
    </row>
    <row r="23" spans="2:5" ht="21.95" customHeight="1" x14ac:dyDescent="0.25">
      <c r="B23" s="27" t="s">
        <v>21</v>
      </c>
      <c r="C23" s="26"/>
      <c r="D23" s="26"/>
      <c r="E23" s="26"/>
    </row>
    <row r="24" spans="2:5" x14ac:dyDescent="0.25">
      <c r="B24" s="25" t="s">
        <v>22</v>
      </c>
      <c r="C24" s="26"/>
      <c r="D24" s="26"/>
      <c r="E24" s="26"/>
    </row>
    <row r="25" spans="2:5" x14ac:dyDescent="0.25">
      <c r="B25" s="25" t="s">
        <v>23</v>
      </c>
      <c r="C25" s="26"/>
      <c r="D25" s="26"/>
      <c r="E25" s="26"/>
    </row>
    <row r="26" spans="2:5" x14ac:dyDescent="0.25">
      <c r="B26" s="25" t="s">
        <v>24</v>
      </c>
      <c r="C26" s="26"/>
      <c r="D26" s="26"/>
      <c r="E26" s="26"/>
    </row>
    <row r="28" spans="2:5" x14ac:dyDescent="0.25">
      <c r="B28" s="7" t="s">
        <v>25</v>
      </c>
      <c r="C28" s="4" t="s">
        <v>26</v>
      </c>
    </row>
    <row r="29" spans="2:5" ht="25.5" x14ac:dyDescent="0.25">
      <c r="B29" s="1" t="s">
        <v>27</v>
      </c>
      <c r="C29" s="4" t="s">
        <v>28</v>
      </c>
    </row>
    <row r="30" spans="2:5" x14ac:dyDescent="0.25">
      <c r="B30" s="8" t="s">
        <v>29</v>
      </c>
      <c r="C30" s="4" t="s">
        <v>30</v>
      </c>
    </row>
  </sheetData>
  <mergeCells count="21">
    <mergeCell ref="B2:E2"/>
    <mergeCell ref="C17:D17"/>
    <mergeCell ref="C6:E6"/>
    <mergeCell ref="B23:E23"/>
    <mergeCell ref="C13:D13"/>
    <mergeCell ref="B19:E19"/>
    <mergeCell ref="B10:E10"/>
    <mergeCell ref="B26:E26"/>
    <mergeCell ref="C16:D16"/>
    <mergeCell ref="C8:E8"/>
    <mergeCell ref="B25:E25"/>
    <mergeCell ref="B3:E3"/>
    <mergeCell ref="C7:E7"/>
    <mergeCell ref="C12:D12"/>
    <mergeCell ref="C11:D11"/>
    <mergeCell ref="B21:E21"/>
    <mergeCell ref="C15:D15"/>
    <mergeCell ref="C14:D14"/>
    <mergeCell ref="B24:E24"/>
    <mergeCell ref="B5:E5"/>
    <mergeCell ref="B20:E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53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8" width="13" customWidth="1"/>
    <col min="9" max="9" width="44" customWidth="1"/>
  </cols>
  <sheetData>
    <row r="2" spans="2:9" ht="27.95" customHeight="1" x14ac:dyDescent="0.25">
      <c r="B2" s="27" t="s">
        <v>31</v>
      </c>
      <c r="C2" s="26"/>
      <c r="D2" s="26"/>
      <c r="E2" s="26"/>
      <c r="F2" s="26"/>
      <c r="G2" s="26"/>
      <c r="H2" s="26"/>
      <c r="I2" s="26"/>
    </row>
    <row r="3" spans="2:9" ht="30" customHeight="1" x14ac:dyDescent="0.25">
      <c r="B3" s="31" t="s">
        <v>32</v>
      </c>
      <c r="C3" s="26"/>
      <c r="D3" s="26"/>
      <c r="E3" s="26"/>
      <c r="F3" s="26"/>
      <c r="G3" s="26"/>
      <c r="H3" s="26"/>
      <c r="I3" s="26"/>
    </row>
    <row r="5" spans="2:9" x14ac:dyDescent="0.25">
      <c r="B5" s="34" t="s">
        <v>33</v>
      </c>
      <c r="C5" s="26"/>
      <c r="D5" s="26"/>
      <c r="E5" s="26"/>
      <c r="F5" s="26"/>
      <c r="G5" s="26"/>
      <c r="H5" s="26"/>
      <c r="I5" s="26"/>
    </row>
    <row r="6" spans="2:9" x14ac:dyDescent="0.25">
      <c r="B6" s="1" t="s">
        <v>34</v>
      </c>
      <c r="C6" s="9">
        <v>8000</v>
      </c>
      <c r="E6" s="10" t="s">
        <v>35</v>
      </c>
    </row>
    <row r="7" spans="2:9" x14ac:dyDescent="0.25">
      <c r="B7" s="1" t="s">
        <v>36</v>
      </c>
      <c r="C7" s="9">
        <v>8000</v>
      </c>
      <c r="E7" s="10" t="s">
        <v>37</v>
      </c>
    </row>
    <row r="8" spans="2:9" ht="25.5" x14ac:dyDescent="0.25">
      <c r="B8" s="1" t="s">
        <v>38</v>
      </c>
      <c r="C8" s="11">
        <v>0.25</v>
      </c>
      <c r="E8" s="10" t="s">
        <v>39</v>
      </c>
    </row>
    <row r="9" spans="2:9" ht="25.5" x14ac:dyDescent="0.25">
      <c r="B9" s="1" t="s">
        <v>40</v>
      </c>
      <c r="C9" s="12">
        <v>6.5000000000000002E-2</v>
      </c>
      <c r="E9" s="10" t="s">
        <v>41</v>
      </c>
    </row>
    <row r="10" spans="2:9" x14ac:dyDescent="0.25">
      <c r="B10" s="1" t="s">
        <v>42</v>
      </c>
      <c r="C10" s="12">
        <v>0.2</v>
      </c>
      <c r="E10" s="10" t="s">
        <v>43</v>
      </c>
    </row>
    <row r="11" spans="2:9" ht="25.5" x14ac:dyDescent="0.25">
      <c r="B11" s="1" t="s">
        <v>44</v>
      </c>
      <c r="C11" s="13">
        <v>100</v>
      </c>
      <c r="E11" s="10" t="s">
        <v>45</v>
      </c>
    </row>
    <row r="12" spans="2:9" ht="25.5" x14ac:dyDescent="0.25">
      <c r="B12" s="1" t="s">
        <v>46</v>
      </c>
      <c r="C12" s="12">
        <v>0.01</v>
      </c>
      <c r="E12" s="10" t="s">
        <v>47</v>
      </c>
    </row>
    <row r="13" spans="2:9" ht="25.5" x14ac:dyDescent="0.25">
      <c r="B13" s="1" t="s">
        <v>48</v>
      </c>
      <c r="C13" s="13">
        <v>1</v>
      </c>
      <c r="E13" s="10" t="s">
        <v>49</v>
      </c>
    </row>
    <row r="15" spans="2:9" ht="21.95" customHeight="1" x14ac:dyDescent="0.25">
      <c r="B15" s="27" t="s">
        <v>50</v>
      </c>
      <c r="C15" s="26"/>
      <c r="D15" s="26"/>
      <c r="E15" s="26"/>
      <c r="F15" s="26"/>
      <c r="G15" s="26"/>
      <c r="H15" s="26"/>
      <c r="I15" s="26"/>
    </row>
    <row r="16" spans="2:9" x14ac:dyDescent="0.25">
      <c r="B16" s="1" t="s">
        <v>51</v>
      </c>
      <c r="C16" s="14">
        <f>LN(C6/C7)</f>
        <v>0</v>
      </c>
      <c r="E16" s="10" t="s">
        <v>52</v>
      </c>
    </row>
    <row r="17" spans="2:9" ht="25.5" x14ac:dyDescent="0.25">
      <c r="B17" s="1" t="s">
        <v>53</v>
      </c>
      <c r="C17" s="14">
        <f>(C9+C10^2/2)*C8</f>
        <v>2.1250000000000002E-2</v>
      </c>
      <c r="E17" s="10" t="s">
        <v>54</v>
      </c>
    </row>
    <row r="18" spans="2:9" x14ac:dyDescent="0.25">
      <c r="B18" s="1" t="s">
        <v>55</v>
      </c>
      <c r="C18" s="14">
        <f>C10*SQRT(C8)</f>
        <v>0.1</v>
      </c>
      <c r="E18" s="10" t="s">
        <v>56</v>
      </c>
    </row>
    <row r="19" spans="2:9" ht="38.25" x14ac:dyDescent="0.25">
      <c r="B19" s="1" t="s">
        <v>57</v>
      </c>
      <c r="C19" s="14">
        <f>(C16+C17)/C18</f>
        <v>0.21249999999999999</v>
      </c>
      <c r="E19" s="10" t="s">
        <v>58</v>
      </c>
    </row>
    <row r="20" spans="2:9" x14ac:dyDescent="0.25">
      <c r="B20" s="1" t="s">
        <v>59</v>
      </c>
      <c r="C20" s="14">
        <f>C19-C18</f>
        <v>0.11249999999999999</v>
      </c>
      <c r="E20" s="10"/>
    </row>
    <row r="21" spans="2:9" ht="38.25" x14ac:dyDescent="0.25">
      <c r="B21" s="1" t="s">
        <v>60</v>
      </c>
      <c r="C21" s="14">
        <f>_xlfn.NORM.S.DIST(C19,TRUE)</f>
        <v>0.5841415111090924</v>
      </c>
      <c r="E21" s="10" t="s">
        <v>61</v>
      </c>
    </row>
    <row r="22" spans="2:9" ht="25.5" x14ac:dyDescent="0.25">
      <c r="B22" s="1" t="s">
        <v>62</v>
      </c>
      <c r="C22" s="14">
        <f>_xlfn.NORM.S.DIST(C20,TRUE)</f>
        <v>0.54478651512825493</v>
      </c>
      <c r="E22" s="10" t="s">
        <v>63</v>
      </c>
    </row>
    <row r="23" spans="2:9" ht="25.5" x14ac:dyDescent="0.25">
      <c r="B23" s="1" t="s">
        <v>64</v>
      </c>
      <c r="C23" s="14">
        <f>_xlfn.NORM.S.DIST(C19,FALSE)</f>
        <v>0.39003583549125809</v>
      </c>
      <c r="E23" s="10" t="s">
        <v>65</v>
      </c>
    </row>
    <row r="24" spans="2:9" x14ac:dyDescent="0.25">
      <c r="B24" s="1" t="s">
        <v>66</v>
      </c>
      <c r="C24" s="14">
        <f>EXP(-C9*C8)</f>
        <v>0.9838813189766874</v>
      </c>
      <c r="E24" s="10"/>
    </row>
    <row r="25" spans="2:9" x14ac:dyDescent="0.25">
      <c r="B25" s="15" t="s">
        <v>67</v>
      </c>
      <c r="C25" s="3">
        <f>C6*C21-C7*C24*C22</f>
        <v>385.08988835193486</v>
      </c>
      <c r="E25" s="10" t="s">
        <v>68</v>
      </c>
    </row>
    <row r="26" spans="2:9" x14ac:dyDescent="0.25">
      <c r="B26" s="1" t="s">
        <v>69</v>
      </c>
      <c r="C26" s="16">
        <f>C25-C6+C7*C24</f>
        <v>256.14044016543448</v>
      </c>
      <c r="E26" s="10" t="s">
        <v>70</v>
      </c>
    </row>
    <row r="28" spans="2:9" ht="21.95" customHeight="1" x14ac:dyDescent="0.25">
      <c r="B28" s="27" t="s">
        <v>71</v>
      </c>
      <c r="C28" s="26"/>
      <c r="D28" s="26"/>
      <c r="E28" s="26"/>
      <c r="F28" s="26"/>
      <c r="G28" s="26"/>
      <c r="H28" s="26"/>
      <c r="I28" s="26"/>
    </row>
    <row r="29" spans="2:9" ht="51" x14ac:dyDescent="0.25">
      <c r="B29" s="15" t="s">
        <v>12</v>
      </c>
      <c r="C29" s="5">
        <f>C21</f>
        <v>0.5841415111090924</v>
      </c>
      <c r="E29" s="10" t="s">
        <v>72</v>
      </c>
    </row>
    <row r="30" spans="2:9" ht="38.25" x14ac:dyDescent="0.25">
      <c r="B30" s="15" t="s">
        <v>13</v>
      </c>
      <c r="C30" s="5">
        <f>C21-1</f>
        <v>-0.4158584888909076</v>
      </c>
      <c r="E30" s="10" t="s">
        <v>73</v>
      </c>
    </row>
    <row r="31" spans="2:9" ht="51" x14ac:dyDescent="0.25">
      <c r="B31" s="15" t="s">
        <v>74</v>
      </c>
      <c r="C31" s="5">
        <f>C29</f>
        <v>0.5841415111090924</v>
      </c>
      <c r="E31" s="4" t="s">
        <v>75</v>
      </c>
    </row>
    <row r="33" spans="2:9" ht="21.95" customHeight="1" x14ac:dyDescent="0.25">
      <c r="B33" s="27" t="s">
        <v>76</v>
      </c>
      <c r="C33" s="26"/>
      <c r="D33" s="26"/>
      <c r="E33" s="26"/>
      <c r="F33" s="26"/>
      <c r="G33" s="26"/>
      <c r="H33" s="26"/>
      <c r="I33" s="26"/>
    </row>
    <row r="34" spans="2:9" x14ac:dyDescent="0.25">
      <c r="B34" s="33" t="s">
        <v>77</v>
      </c>
      <c r="C34" s="26"/>
      <c r="D34" s="26"/>
      <c r="E34" s="26"/>
      <c r="F34" s="26"/>
      <c r="G34" s="26"/>
      <c r="H34" s="26"/>
      <c r="I34" s="26"/>
    </row>
    <row r="35" spans="2:9" x14ac:dyDescent="0.25">
      <c r="B35" s="17" t="s">
        <v>78</v>
      </c>
      <c r="C35" s="17" t="s">
        <v>79</v>
      </c>
      <c r="D35" s="17" t="s">
        <v>80</v>
      </c>
      <c r="E35" s="17" t="s">
        <v>81</v>
      </c>
      <c r="F35" s="17" t="s">
        <v>82</v>
      </c>
      <c r="G35" s="17" t="s">
        <v>83</v>
      </c>
      <c r="H35" s="17" t="s">
        <v>84</v>
      </c>
      <c r="I35" s="17" t="s">
        <v>85</v>
      </c>
    </row>
    <row r="36" spans="2:9" x14ac:dyDescent="0.25">
      <c r="B36" s="18" t="s">
        <v>86</v>
      </c>
      <c r="C36" s="19">
        <f>C6</f>
        <v>8000</v>
      </c>
      <c r="D36" s="20">
        <f>C10</f>
        <v>0.2</v>
      </c>
      <c r="E36" s="14">
        <f>C8</f>
        <v>0.25</v>
      </c>
      <c r="F36" s="14">
        <f>IF(D36=0,0,(LN(C36/C7)+(C9+D36^2/2)*E36)/(D36*SQRT(E36)))</f>
        <v>0.21249999999999999</v>
      </c>
      <c r="G36" s="14">
        <f t="shared" ref="G36:G41" si="0">F36-D36*SQRT(E36)</f>
        <v>0.11249999999999999</v>
      </c>
      <c r="H36" s="21">
        <f>C36*_xlfn.NORM.S.DIST(F36,TRUE)-C7*EXP(-C9*E36)*_xlfn.NORM.S.DIST(G36,TRUE)</f>
        <v>385.08988835193486</v>
      </c>
      <c r="I36" s="10" t="s">
        <v>87</v>
      </c>
    </row>
    <row r="37" spans="2:9" x14ac:dyDescent="0.25">
      <c r="B37" s="18" t="s">
        <v>88</v>
      </c>
      <c r="C37" s="19">
        <f>C6+C11</f>
        <v>8100</v>
      </c>
      <c r="D37" s="20">
        <f>C10</f>
        <v>0.2</v>
      </c>
      <c r="E37" s="14">
        <f>C8</f>
        <v>0.25</v>
      </c>
      <c r="F37" s="14">
        <f>IF(D37=0,0,(LN(C37/C7)+(C9+D37^2/2)*E37)/(D37*SQRT(E37)))</f>
        <v>0.3367251999855711</v>
      </c>
      <c r="G37" s="14">
        <f t="shared" si="0"/>
        <v>0.23672519998557109</v>
      </c>
      <c r="H37" s="21">
        <f>C37*_xlfn.NORM.S.DIST(F37,TRUE)-C7*EXP(-C9*E37)*_xlfn.NORM.S.DIST(G37,TRUE)</f>
        <v>445.90735299304379</v>
      </c>
      <c r="I37" s="10" t="s">
        <v>89</v>
      </c>
    </row>
    <row r="38" spans="2:9" x14ac:dyDescent="0.25">
      <c r="B38" s="18" t="s">
        <v>90</v>
      </c>
      <c r="C38" s="19">
        <f>C6-C11</f>
        <v>7900</v>
      </c>
      <c r="D38" s="20">
        <f>C10</f>
        <v>0.2</v>
      </c>
      <c r="E38" s="14">
        <f>C8</f>
        <v>0.25</v>
      </c>
      <c r="F38" s="14">
        <f>IF(D38=0,0,(LN(C38/C7)+(C9+D38^2/2)*E38)/(D38*SQRT(E38)))</f>
        <v>8.6712177931399279E-2</v>
      </c>
      <c r="G38" s="14">
        <f t="shared" si="0"/>
        <v>-1.3287822068600727E-2</v>
      </c>
      <c r="H38" s="21">
        <f>C38*_xlfn.NORM.S.DIST(F38,TRUE)-C7*EXP(-C9*E38)*_xlfn.NORM.S.DIST(G38,TRUE)</f>
        <v>329.14234763259037</v>
      </c>
      <c r="I38" s="10" t="s">
        <v>91</v>
      </c>
    </row>
    <row r="39" spans="2:9" x14ac:dyDescent="0.25">
      <c r="B39" s="18" t="s">
        <v>92</v>
      </c>
      <c r="C39" s="19">
        <f>C6</f>
        <v>8000</v>
      </c>
      <c r="D39" s="20">
        <f>C10+C12</f>
        <v>0.21000000000000002</v>
      </c>
      <c r="E39" s="14">
        <f>C8</f>
        <v>0.25</v>
      </c>
      <c r="F39" s="14">
        <f>IF(D39=0,0,(LN(C39/C7)+(C9+D39^2/2)*E39)/(D39*SQRT(E39)))</f>
        <v>0.20726190476190476</v>
      </c>
      <c r="G39" s="14">
        <f t="shared" si="0"/>
        <v>0.10226190476190475</v>
      </c>
      <c r="H39" s="21">
        <f>C39*_xlfn.NORM.S.DIST(F39,TRUE)-C7*EXP(-C9*E39)*_xlfn.NORM.S.DIST(G39,TRUE)</f>
        <v>400.70014264532438</v>
      </c>
      <c r="I39" s="10" t="s">
        <v>93</v>
      </c>
    </row>
    <row r="40" spans="2:9" x14ac:dyDescent="0.25">
      <c r="B40" s="18" t="s">
        <v>94</v>
      </c>
      <c r="C40" s="19">
        <f>C6</f>
        <v>8000</v>
      </c>
      <c r="D40" s="20">
        <f>C10-C12</f>
        <v>0.19</v>
      </c>
      <c r="E40" s="14">
        <f>C8</f>
        <v>0.25</v>
      </c>
      <c r="F40" s="14">
        <f>IF(D40=0,0,(LN(C40/C7)+(C9+D40^2/2)*E40)/(D40*SQRT(E40)))</f>
        <v>0.21855263157894736</v>
      </c>
      <c r="G40" s="14">
        <f t="shared" si="0"/>
        <v>0.12355263157894736</v>
      </c>
      <c r="H40" s="21">
        <f>C40*_xlfn.NORM.S.DIST(F40,TRUE)-C7*EXP(-C9*E40)*_xlfn.NORM.S.DIST(G40,TRUE)</f>
        <v>369.49833331663012</v>
      </c>
      <c r="I40" s="10" t="s">
        <v>95</v>
      </c>
    </row>
    <row r="41" spans="2:9" x14ac:dyDescent="0.25">
      <c r="B41" s="18" t="s">
        <v>96</v>
      </c>
      <c r="C41" s="19">
        <f>C6</f>
        <v>8000</v>
      </c>
      <c r="D41" s="20">
        <f>C10</f>
        <v>0.2</v>
      </c>
      <c r="E41" s="14">
        <f>C8-C13/365</f>
        <v>0.24726027397260275</v>
      </c>
      <c r="F41" s="14">
        <f>IF(D41=0,0,(LN(C41/C7)+(C9+D41^2/2)*E41)/(D41*SQRT(E41)))</f>
        <v>0.21133240874579881</v>
      </c>
      <c r="G41" s="14">
        <f t="shared" si="0"/>
        <v>0.11188186345365821</v>
      </c>
      <c r="H41" s="21">
        <f>C41*_xlfn.NORM.S.DIST(F41,TRUE)-C7*EXP(-C9*E41)*_xlfn.NORM.S.DIST(G41,TRUE)</f>
        <v>382.61169948041334</v>
      </c>
      <c r="I41" s="10" t="s">
        <v>97</v>
      </c>
    </row>
    <row r="43" spans="2:9" x14ac:dyDescent="0.25">
      <c r="B43" s="34" t="s">
        <v>98</v>
      </c>
      <c r="C43" s="26"/>
      <c r="D43" s="26"/>
      <c r="E43" s="26"/>
      <c r="F43" s="26"/>
      <c r="G43" s="26"/>
      <c r="H43" s="26"/>
      <c r="I43" s="26"/>
    </row>
    <row r="44" spans="2:9" ht="38.25" x14ac:dyDescent="0.25">
      <c r="B44" s="1" t="s">
        <v>99</v>
      </c>
      <c r="C44" s="22">
        <f>(H37-H38)/(2*C11)</f>
        <v>0.58382502680226711</v>
      </c>
      <c r="E44" s="10" t="s">
        <v>100</v>
      </c>
    </row>
    <row r="45" spans="2:9" ht="38.25" x14ac:dyDescent="0.25">
      <c r="B45" s="1" t="s">
        <v>101</v>
      </c>
      <c r="C45" s="22">
        <f>(H37-2*H36+H38)/C11^2</f>
        <v>4.8699239217644388E-4</v>
      </c>
      <c r="E45" s="10" t="s">
        <v>102</v>
      </c>
    </row>
    <row r="46" spans="2:9" ht="30" x14ac:dyDescent="0.25">
      <c r="B46" s="1" t="s">
        <v>103</v>
      </c>
      <c r="C46" s="16">
        <f>(H39-H40)/(2*C12)/100</f>
        <v>15.600904664347127</v>
      </c>
      <c r="E46" s="10" t="s">
        <v>104</v>
      </c>
    </row>
    <row r="47" spans="2:9" ht="25.5" x14ac:dyDescent="0.25">
      <c r="B47" s="1" t="s">
        <v>105</v>
      </c>
      <c r="C47" s="16">
        <f>H41-H36</f>
        <v>-2.4781888715215246</v>
      </c>
      <c r="E47" s="10" t="s">
        <v>106</v>
      </c>
    </row>
    <row r="49" spans="2:9" x14ac:dyDescent="0.25">
      <c r="B49" s="34" t="s">
        <v>107</v>
      </c>
      <c r="C49" s="26"/>
      <c r="D49" s="26"/>
      <c r="E49" s="26"/>
      <c r="F49" s="26"/>
      <c r="G49" s="26"/>
      <c r="H49" s="26"/>
      <c r="I49" s="26"/>
    </row>
    <row r="50" spans="2:9" ht="51" x14ac:dyDescent="0.25">
      <c r="B50" s="15" t="s">
        <v>108</v>
      </c>
      <c r="C50" s="6">
        <f>C23/(C6*C10*SQRT(C8))</f>
        <v>4.8754479436407259E-4</v>
      </c>
      <c r="E50" s="10" t="s">
        <v>109</v>
      </c>
    </row>
    <row r="51" spans="2:9" ht="38.25" x14ac:dyDescent="0.25">
      <c r="B51" s="15" t="s">
        <v>110</v>
      </c>
      <c r="C51" s="3">
        <f>C6*SQRT(C8)*C23/100</f>
        <v>15.601433419650323</v>
      </c>
      <c r="E51" s="10" t="s">
        <v>111</v>
      </c>
    </row>
    <row r="52" spans="2:9" ht="30" x14ac:dyDescent="0.25">
      <c r="B52" s="15" t="s">
        <v>112</v>
      </c>
      <c r="C52" s="3">
        <f>(-C6*C10*C23/(2*SQRT(C8))-C9*C7*C24*C22)/365</f>
        <v>-2.4733700816982611</v>
      </c>
      <c r="E52" s="10" t="s">
        <v>113</v>
      </c>
    </row>
    <row r="53" spans="2:9" ht="76.5" x14ac:dyDescent="0.25">
      <c r="B53" s="1" t="s">
        <v>114</v>
      </c>
      <c r="C53" s="14">
        <f>C50*1000</f>
        <v>0.48754479436407261</v>
      </c>
      <c r="E53" s="10" t="s">
        <v>115</v>
      </c>
    </row>
  </sheetData>
  <mergeCells count="9">
    <mergeCell ref="B49:I49"/>
    <mergeCell ref="B43:I43"/>
    <mergeCell ref="B15:I15"/>
    <mergeCell ref="B33:I33"/>
    <mergeCell ref="B2:I2"/>
    <mergeCell ref="B34:I34"/>
    <mergeCell ref="B28:I28"/>
    <mergeCell ref="B3:I3"/>
    <mergeCell ref="B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greeks-calculator.xlsx</dc:title>
  <dc:creator>stdsquare</dc:creator>
  <cp:lastModifiedBy>Nana Varian</cp:lastModifiedBy>
  <dcterms:created xsi:type="dcterms:W3CDTF">2026-08-14T17:20:21Z</dcterms:created>
  <dcterms:modified xsi:type="dcterms:W3CDTF">2026-08-14T17:20:29Z</dcterms:modified>
</cp:coreProperties>
</file>