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_PETUNJUK" sheetId="1" state="visible" r:id="rId1"/>
    <sheet xmlns:r="http://schemas.openxmlformats.org/officeDocument/2006/relationships" name="1_INPUT" sheetId="2" state="visible" r:id="rId2"/>
    <sheet xmlns:r="http://schemas.openxmlformats.org/officeDocument/2006/relationships" name="2_CBA_TIMELINE" sheetId="3" state="visible" r:id="rId3"/>
    <sheet xmlns:r="http://schemas.openxmlformats.org/officeDocument/2006/relationships" name="3_SENSITIVIT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&quot;Rp&quot;#,##0&quot; miliar&quot;"/>
  </numFmts>
  <fonts count="9">
    <font>
      <name val="Calibri"/>
      <family val="2"/>
      <color theme="1"/>
      <sz val="11"/>
      <scheme val="minor"/>
    </font>
    <font>
      <name val="Calibri"/>
      <b val="1"/>
      <color rgb="001F4E79"/>
      <sz val="14"/>
    </font>
    <font>
      <name val="Calibri"/>
      <b val="1"/>
      <color rgb="00FFFFFF"/>
      <sz val="11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i val="1"/>
      <color rgb="00555555"/>
      <sz val="10"/>
    </font>
    <font>
      <name val="Calibri"/>
      <color rgb="001F4E79"/>
      <sz val="11"/>
      <u val="single"/>
    </font>
    <font>
      <name val="Calibri"/>
      <color rgb="001F4E79"/>
      <sz val="11"/>
    </font>
    <font>
      <name val="Calibri"/>
      <b val="1"/>
      <color rgb="001F4E79"/>
      <sz val="12"/>
    </font>
  </fonts>
  <fills count="8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37474A"/>
      </patternFill>
    </fill>
    <fill>
      <patternFill patternType="solid">
        <fgColor rgb="00FFF59D"/>
      </patternFill>
    </fill>
    <fill>
      <patternFill patternType="solid">
        <fgColor rgb="00F5F5F5"/>
      </patternFill>
    </fill>
    <fill>
      <patternFill patternType="solid">
        <fgColor rgb="00B3E5FC"/>
      </patternFill>
    </fill>
  </fills>
  <borders count="6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/>
      <top style="thin">
        <color rgb="00BBBBBB"/>
      </top>
      <bottom style="thin">
        <color rgb="00BBBBBB"/>
      </bottom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2" fillId="4" borderId="0" applyAlignment="1" pivotButton="0" quotePrefix="0" xfId="0">
      <alignment horizontal="center" vertical="center" wrapText="1"/>
    </xf>
    <xf numFmtId="164" fontId="7" fillId="5" borderId="1" applyAlignment="1" pivotButton="0" quotePrefix="0" xfId="0">
      <alignment horizontal="right" vertical="center"/>
    </xf>
    <xf numFmtId="3" fontId="7" fillId="5" borderId="1" applyAlignment="1" pivotButton="0" quotePrefix="0" xfId="0">
      <alignment horizontal="right" vertical="center"/>
    </xf>
    <xf numFmtId="165" fontId="7" fillId="5" borderId="1" applyAlignment="1" pivotButton="0" quotePrefix="0" xfId="0">
      <alignment horizontal="right" vertical="center"/>
    </xf>
    <xf numFmtId="0" fontId="2" fillId="4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 wrapText="1"/>
    </xf>
    <xf numFmtId="2" fontId="4" fillId="6" borderId="1" applyAlignment="1" pivotButton="0" quotePrefix="0" xfId="0">
      <alignment horizontal="center" vertical="center" wrapText="1"/>
    </xf>
    <xf numFmtId="3" fontId="4" fillId="0" borderId="1" applyAlignment="1" pivotButton="0" quotePrefix="0" xfId="0">
      <alignment horizontal="center" vertical="center" wrapText="1"/>
    </xf>
    <xf numFmtId="0" fontId="3" fillId="5" borderId="0" applyAlignment="1" pivotButton="0" quotePrefix="0" xfId="0">
      <alignment horizontal="left" vertical="center" wrapText="1"/>
    </xf>
    <xf numFmtId="3" fontId="3" fillId="5" borderId="1" applyAlignment="1" pivotButton="0" quotePrefix="0" xfId="0">
      <alignment horizontal="center" vertical="center" wrapText="1"/>
    </xf>
    <xf numFmtId="0" fontId="3" fillId="6" borderId="0" applyAlignment="1" pivotButton="0" quotePrefix="0" xfId="0">
      <alignment horizontal="left" vertical="center" wrapText="1"/>
    </xf>
    <xf numFmtId="3" fontId="3" fillId="6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left" vertical="center" wrapText="1"/>
    </xf>
    <xf numFmtId="165" fontId="8" fillId="7" borderId="1" applyAlignment="1" pivotButton="0" quotePrefix="0" xfId="0">
      <alignment horizontal="right" vertical="center"/>
    </xf>
    <xf numFmtId="2" fontId="8" fillId="7" borderId="1" applyAlignment="1" pivotButton="0" quotePrefix="0" xfId="0">
      <alignment horizontal="right" vertical="center"/>
    </xf>
    <xf numFmtId="10" fontId="8" fillId="7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7" fillId="5" borderId="1" applyAlignment="1" pivotButton="0" quotePrefix="0" xfId="0">
      <alignment horizontal="center" vertical="center" wrapText="1"/>
    </xf>
    <xf numFmtId="3" fontId="4" fillId="0" borderId="1" applyAlignment="1" pivotButton="0" quotePrefix="0" xfId="0">
      <alignment horizontal="right" vertical="center"/>
    </xf>
    <xf numFmtId="2" fontId="4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78" customWidth="1" min="3" max="3"/>
  </cols>
  <sheetData>
    <row r="2" ht="30" customHeight="1">
      <c r="B2" s="1" t="inlineStr">
        <is>
          <t>COST-BENEFIT ANALYSIS (CBA) — TOL SEMARANG–DEMAK</t>
        </is>
      </c>
    </row>
    <row r="4" ht="46" customHeight="1">
      <c r="B4" s="2" t="inlineStr">
        <is>
          <t>Apa ini</t>
        </is>
      </c>
      <c r="C4" s="3" t="inlineStr">
        <is>
          <t>Workbook pendamping materi /ekonomi/cost-benefit-analysis/. Model CBA publik 34 tahun (Year 0 = 2024 start konstruksi; 4 thn bangun + 30 thn operasi) untuk Jalan Tol Semarang–Demak (26,7 km). Satuan: Rp miliar.</t>
        </is>
      </c>
    </row>
    <row r="5" ht="46" customHeight="1">
      <c r="B5" s="2" t="inlineStr">
        <is>
          <t>Konvensi warna</t>
        </is>
      </c>
      <c r="C5" s="3" t="inlineStr">
        <is>
          <t>BIRU TUA = sel input (boleh diubah). HITAM = formula (otomatis, jangan ditimpa). KUNING = parameter/totals penting. BIRU MUDA = hasil headline (NPV, B/C, IRR).</t>
        </is>
      </c>
    </row>
    <row r="6" ht="46" customHeight="1">
      <c r="B6" s="2" t="inlineStr">
        <is>
          <t>Cara pakai</t>
        </is>
      </c>
      <c r="C6" s="3" t="inlineStr">
        <is>
          <t>Ubah sel biru di sheet 1_INPUT (discount rate, eskalasi, base cost/benefit) dan di baris input sheet 2_CBA_TIMELINE. Semua angka hitam — NPV, B/C ratio, IRR, payback — menghitung ulang otomatis.</t>
        </is>
      </c>
    </row>
    <row r="7" ht="46" customHeight="1">
      <c r="B7" s="2" t="inlineStr">
        <is>
          <t>Langkah CBA</t>
        </is>
      </c>
      <c r="C7" s="3" t="inlineStr">
        <is>
          <t>(1) Identifikasi biaya &amp; manfaat (direct/indirect/intangible). (2) Pilih discount rate sosial. (3) Diskon aliran ke tahun dasar → NPV sosial. (4) Hitung B/C ratio &amp; IRR sosial. (5) Uji sensitivitas terhadap discount rate, biaya, manfaat.</t>
        </is>
      </c>
    </row>
    <row r="8" ht="46" customHeight="1">
      <c r="B8" s="2" t="inlineStr">
        <is>
          <t>Sheet 1_INPUT</t>
        </is>
      </c>
      <c r="C8" s="3" t="inlineStr">
        <is>
          <t>Parameter global: discount rate sosial (7%), eskalasi O&amp;M (3%/thn), pertumbuhan manfaat (5%/thn), tahun mulai operasi, horizon, serta komponen intangible yang TIDAK dimonetisasi.</t>
        </is>
      </c>
    </row>
    <row r="9" ht="46" customHeight="1">
      <c r="B9" s="2" t="inlineStr">
        <is>
          <t>Sheet 2_CBA_TIMELINE</t>
        </is>
      </c>
      <c r="C9" s="3" t="inlineStr">
        <is>
          <t>Aliran tahun-demi-tahun: 5 baris biaya (lahan, konstruksi, O&amp;M, pemeliharaan besar), 3 baris manfaat termonetisasi (penghematan waktu, penghematan BOK, reduksi kecelakaan). Diskon → PV cost, PV benefit, NPV, B/C, IRR, payback diskonto.</t>
        </is>
      </c>
    </row>
    <row r="10" ht="46" customHeight="1">
      <c r="B10" s="2" t="inlineStr">
        <is>
          <t>Sheet 3_SENSITIVITY</t>
        </is>
      </c>
      <c r="C10" s="3" t="inlineStr">
        <is>
          <t>Tornado satu-arah: NPV &amp; B/C saat discount rate, biaya konstruksi, dan manfaat digeser ±20%. Serta kurva NPV vs discount rate 3%–13%.</t>
        </is>
      </c>
    </row>
    <row r="11" ht="46" customHeight="1">
      <c r="B11" s="2" t="inlineStr">
        <is>
          <t>Catatan</t>
        </is>
      </c>
      <c r="C11" s="3" t="inlineStr">
        <is>
          <t>Angka bersifat ilustratif untuk pembelajaran, bukan angka resmi proyek. Intangible (mitigasi rob/banjir, aglomerasi ekonomi, ketahanan pangan Demak) dicatat tetapi TIDAK dimonetisasi di sini — diskusi lihat artikel.</t>
        </is>
      </c>
    </row>
    <row r="13">
      <c r="B13" s="4" t="inlineStr">
        <is>
          <t>Diskusi mendalam:</t>
        </is>
      </c>
    </row>
    <row r="14">
      <c r="B14" s="5" t="inlineStr">
        <is>
          <t>/ekonomi/cost-benefit-analysis/</t>
        </is>
      </c>
    </row>
  </sheetData>
  <mergeCells count="1">
    <mergeCell ref="B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2" customWidth="1" min="2" max="2"/>
    <col width="16" customWidth="1" min="3" max="3"/>
    <col width="60" customWidth="1" min="4" max="4"/>
  </cols>
  <sheetData>
    <row r="2" ht="28" customHeight="1">
      <c r="B2" s="1" t="inlineStr">
        <is>
          <t>PARAMETER INPUT — CBA TOL SEMARANG–DEMAK</t>
        </is>
      </c>
    </row>
    <row r="4">
      <c r="B4" s="6" t="inlineStr">
        <is>
          <t>Parameter</t>
        </is>
      </c>
      <c r="C4" s="6" t="inlineStr">
        <is>
          <t>Nilai</t>
        </is>
      </c>
      <c r="D4" s="6" t="inlineStr">
        <is>
          <t>Catatan</t>
        </is>
      </c>
    </row>
    <row r="5">
      <c r="B5" s="3" t="inlineStr">
        <is>
          <t>Discount rate sosial (r)</t>
        </is>
      </c>
      <c r="C5" s="7" t="n">
        <v>0.07000000000000001</v>
      </c>
      <c r="D5" s="4" t="inlineStr">
        <is>
          <t>Social discount rate; SDR Indonesia acuan ~7% (peringkat resiko negara + preferensi sosial).</t>
        </is>
      </c>
    </row>
    <row r="6">
      <c r="B6" s="3" t="inlineStr">
        <is>
          <t>Eskalasi O&amp;M (g_OM)</t>
        </is>
      </c>
      <c r="C6" s="7" t="n">
        <v>0.03</v>
      </c>
      <c r="D6" s="4" t="inlineStr">
        <is>
          <t>Kenaikan biaya operasi &amp; pemeliharaan tahunan.</t>
        </is>
      </c>
    </row>
    <row r="7">
      <c r="B7" s="3" t="inlineStr">
        <is>
          <t>Pertumbuhan manfaat (g_B)</t>
        </is>
      </c>
      <c r="C7" s="7" t="n">
        <v>0.05</v>
      </c>
      <c r="D7" s="4" t="inlineStr">
        <is>
          <t>Pertumbuhan volume lalu lintas × nilai waktu (manfaat naik 5%/thn).</t>
        </is>
      </c>
    </row>
    <row r="8">
      <c r="B8" s="3" t="inlineStr">
        <is>
          <t>Tahun mulai operasi (index)</t>
        </is>
      </c>
      <c r="C8" s="8" t="n">
        <v>4</v>
      </c>
      <c r="D8" s="4" t="inlineStr">
        <is>
          <t>Year-4 (2028) = akhir konstruksi 4 thn, mulai beroperasi.</t>
        </is>
      </c>
    </row>
    <row r="9">
      <c r="B9" s="3" t="inlineStr">
        <is>
          <t>Horizon operasi (tahun)</t>
        </is>
      </c>
      <c r="C9" s="8" t="n">
        <v>30</v>
      </c>
      <c r="D9" s="4" t="inlineStr">
        <is>
          <t>Masa konsesi + analisis 30 thn operasi.</t>
        </is>
      </c>
    </row>
    <row r="10">
      <c r="B10" s="3" t="inlineStr">
        <is>
          <t>Base O&amp;M Year-4 (Rp miliar)</t>
        </is>
      </c>
      <c r="C10" s="9" t="n">
        <v>150</v>
      </c>
      <c r="D10" s="4" t="inlineStr">
        <is>
          <t>Biaya O&amp;M tahun pertama operasi.</t>
        </is>
      </c>
    </row>
    <row r="11">
      <c r="B11" s="3" t="inlineStr">
        <is>
          <t>Base penghematan waktu Year-4</t>
        </is>
      </c>
      <c r="C11" s="9" t="n">
        <v>950</v>
      </c>
      <c r="D11" s="4" t="inlineStr">
        <is>
          <t>Penghematan waktu (LHR × Δmenit × nilai waktu) thn pertama.</t>
        </is>
      </c>
    </row>
    <row r="12">
      <c r="B12" s="3" t="inlineStr">
        <is>
          <t>Base penghematan BOK Year-4</t>
        </is>
      </c>
      <c r="C12" s="9" t="n">
        <v>200</v>
      </c>
      <c r="D12" s="4" t="inlineStr">
        <is>
          <t>Penghematan biaya operasional kendaraan (BBM, aus).</t>
        </is>
      </c>
    </row>
    <row r="13">
      <c r="B13" s="3" t="inlineStr">
        <is>
          <t>Base reduksi kecelakaan Year-4</t>
        </is>
      </c>
      <c r="C13" s="9" t="n">
        <v>50</v>
      </c>
      <c r="D13" s="4" t="inlineStr">
        <is>
          <t>Nilai moneter pengurangan kecelakaan (VSL + kerugian).</t>
        </is>
      </c>
    </row>
    <row r="14">
      <c r="B14" s="3" t="inlineStr">
        <is>
          <t>Pemeliharaan besar (tiap 8 thn)</t>
        </is>
      </c>
      <c r="C14" s="9" t="n">
        <v>400</v>
      </c>
      <c r="D14" s="4" t="inlineStr">
        <is>
          <t>Re-surfacing &amp; struktur, thn ke-11, 19, 27.</t>
        </is>
      </c>
    </row>
    <row r="15">
      <c r="B15" s="3" t="inlineStr">
        <is>
          <t>Akwuisisi lahan (Year-0)</t>
        </is>
      </c>
      <c r="C15" s="9" t="n">
        <v>2500</v>
      </c>
      <c r="D15" s="4" t="inlineStr">
        <is>
          <t>Pembebasan lahan 26,7 km, dibayar di awal.</t>
        </is>
      </c>
    </row>
    <row r="16">
      <c r="B16" s="3" t="inlineStr">
        <is>
          <t>Konstruksi Year-0</t>
        </is>
      </c>
      <c r="C16" s="9" t="n">
        <v>1500</v>
      </c>
      <c r="D16" s="4" t="inlineStr">
        <is>
          <t>Tahap 1 konstruksi (2024).</t>
        </is>
      </c>
    </row>
    <row r="17">
      <c r="B17" s="3" t="inlineStr">
        <is>
          <t>Konstruksi Year-1</t>
        </is>
      </c>
      <c r="C17" s="9" t="n">
        <v>2500</v>
      </c>
      <c r="D17" s="4" t="inlineStr">
        <is>
          <t>Tahap 2 (2025).</t>
        </is>
      </c>
    </row>
    <row r="18">
      <c r="B18" s="3" t="inlineStr">
        <is>
          <t>Konstruksi Year-2</t>
        </is>
      </c>
      <c r="C18" s="9" t="n">
        <v>2500</v>
      </c>
      <c r="D18" s="4" t="inlineStr">
        <is>
          <t>Tahap 3 (2026).</t>
        </is>
      </c>
    </row>
    <row r="19">
      <c r="B19" s="3" t="inlineStr">
        <is>
          <t>Konstruksi Year-3</t>
        </is>
      </c>
      <c r="C19" s="9" t="n">
        <v>1000</v>
      </c>
      <c r="D19" s="4" t="inlineStr">
        <is>
          <t>Tahap 4 (2027).</t>
        </is>
      </c>
    </row>
    <row r="21">
      <c r="B21" s="10" t="inlineStr">
        <is>
          <t>MANFAAT INTANGIBLE (dicatat, TIDAK dimonetisasi di timeline)</t>
        </is>
      </c>
    </row>
    <row r="22" ht="30" customHeight="1">
      <c r="B22" s="2" t="inlineStr">
        <is>
          <t>T</t>
        </is>
      </c>
      <c r="C22" s="11" t="inlineStr">
        <is>
          <t>—</t>
        </is>
      </c>
      <c r="D22" s="4" t="inlineStr">
        <is>
          <t>o</t>
        </is>
      </c>
    </row>
    <row r="23" ht="30" customHeight="1">
      <c r="B23" s="2" t="inlineStr">
        <is>
          <t>K</t>
        </is>
      </c>
      <c r="C23" s="11" t="inlineStr">
        <is>
          <t>—</t>
        </is>
      </c>
      <c r="D23" s="4" t="inlineStr">
        <is>
          <t>o</t>
        </is>
      </c>
    </row>
    <row r="24" ht="30" customHeight="1">
      <c r="B24" s="2" t="inlineStr">
        <is>
          <t>A</t>
        </is>
      </c>
      <c r="C24" s="11" t="inlineStr">
        <is>
          <t>—</t>
        </is>
      </c>
      <c r="D24" s="4" t="inlineStr">
        <is>
          <t>k</t>
        </is>
      </c>
    </row>
    <row r="25" ht="30" customHeight="1">
      <c r="B25" s="2" t="inlineStr">
        <is>
          <t>R</t>
        </is>
      </c>
      <c r="C25" s="11" t="inlineStr">
        <is>
          <t>—</t>
        </is>
      </c>
      <c r="D25" s="4" t="inlineStr">
        <is>
          <t>e</t>
        </is>
      </c>
    </row>
  </sheetData>
  <mergeCells count="2">
    <mergeCell ref="B21:D21"/>
    <mergeCell ref="B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AI3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10.5" customWidth="1" min="18" max="18"/>
    <col width="10.5" customWidth="1" min="19" max="19"/>
    <col width="10.5" customWidth="1" min="20" max="20"/>
    <col width="10.5" customWidth="1" min="21" max="21"/>
    <col width="10.5" customWidth="1" min="22" max="22"/>
    <col width="10.5" customWidth="1" min="23" max="23"/>
    <col width="10.5" customWidth="1" min="24" max="24"/>
    <col width="10.5" customWidth="1" min="25" max="25"/>
    <col width="10.5" customWidth="1" min="26" max="26"/>
    <col width="10.5" customWidth="1" min="27" max="27"/>
    <col width="10.5" customWidth="1" min="28" max="28"/>
    <col width="10.5" customWidth="1" min="29" max="29"/>
    <col width="10.5" customWidth="1" min="30" max="30"/>
    <col width="10.5" customWidth="1" min="31" max="31"/>
    <col width="10.5" customWidth="1" min="32" max="32"/>
    <col width="10.5" customWidth="1" min="33" max="33"/>
    <col width="10.5" customWidth="1" min="34" max="34"/>
    <col width="10.5" customWidth="1" min="35" max="35"/>
  </cols>
  <sheetData>
    <row r="2" ht="26" customHeight="1">
      <c r="A2" s="1" t="inlineStr">
        <is>
          <t>CBA TIMELINE — TOL SEMARANG–DEMAK (Rp miliar, base year 2024)</t>
        </is>
      </c>
    </row>
    <row r="4">
      <c r="A4" s="12" t="inlineStr">
        <is>
          <t>Tahun ke- (t)</t>
        </is>
      </c>
      <c r="B4" s="13" t="n">
        <v>0</v>
      </c>
      <c r="C4" s="13" t="n">
        <v>1</v>
      </c>
      <c r="D4" s="13" t="n">
        <v>2</v>
      </c>
      <c r="E4" s="13" t="n">
        <v>3</v>
      </c>
      <c r="F4" s="13" t="n">
        <v>4</v>
      </c>
      <c r="G4" s="13" t="n">
        <v>5</v>
      </c>
      <c r="H4" s="13" t="n">
        <v>6</v>
      </c>
      <c r="I4" s="13" t="n">
        <v>7</v>
      </c>
      <c r="J4" s="13" t="n">
        <v>8</v>
      </c>
      <c r="K4" s="13" t="n">
        <v>9</v>
      </c>
      <c r="L4" s="13" t="n">
        <v>10</v>
      </c>
      <c r="M4" s="13" t="n">
        <v>11</v>
      </c>
      <c r="N4" s="13" t="n">
        <v>12</v>
      </c>
      <c r="O4" s="13" t="n">
        <v>13</v>
      </c>
      <c r="P4" s="13" t="n">
        <v>14</v>
      </c>
      <c r="Q4" s="13" t="n">
        <v>15</v>
      </c>
      <c r="R4" s="13" t="n">
        <v>16</v>
      </c>
      <c r="S4" s="13" t="n">
        <v>17</v>
      </c>
      <c r="T4" s="13" t="n">
        <v>18</v>
      </c>
      <c r="U4" s="13" t="n">
        <v>19</v>
      </c>
      <c r="V4" s="13" t="n">
        <v>20</v>
      </c>
      <c r="W4" s="13" t="n">
        <v>21</v>
      </c>
      <c r="X4" s="13" t="n">
        <v>22</v>
      </c>
      <c r="Y4" s="13" t="n">
        <v>23</v>
      </c>
      <c r="Z4" s="13" t="n">
        <v>24</v>
      </c>
      <c r="AA4" s="13" t="n">
        <v>25</v>
      </c>
      <c r="AB4" s="13" t="n">
        <v>26</v>
      </c>
      <c r="AC4" s="13" t="n">
        <v>27</v>
      </c>
      <c r="AD4" s="13" t="n">
        <v>28</v>
      </c>
      <c r="AE4" s="13" t="n">
        <v>29</v>
      </c>
      <c r="AF4" s="13" t="n">
        <v>30</v>
      </c>
      <c r="AG4" s="13" t="n">
        <v>31</v>
      </c>
      <c r="AH4" s="13" t="n">
        <v>32</v>
      </c>
      <c r="AI4" s="13" t="n">
        <v>33</v>
      </c>
    </row>
    <row r="5">
      <c r="A5" s="12" t="inlineStr">
        <is>
          <t>Tahun kalender</t>
        </is>
      </c>
      <c r="B5" s="14" t="n">
        <v>2024</v>
      </c>
      <c r="C5" s="14" t="n">
        <v>2025</v>
      </c>
      <c r="D5" s="14" t="n">
        <v>2026</v>
      </c>
      <c r="E5" s="14" t="n">
        <v>2027</v>
      </c>
      <c r="F5" s="14" t="n">
        <v>2028</v>
      </c>
      <c r="G5" s="14" t="n">
        <v>2029</v>
      </c>
      <c r="H5" s="14" t="n">
        <v>2030</v>
      </c>
      <c r="I5" s="14" t="n">
        <v>2031</v>
      </c>
      <c r="J5" s="14" t="n">
        <v>2032</v>
      </c>
      <c r="K5" s="14" t="n">
        <v>2033</v>
      </c>
      <c r="L5" s="14" t="n">
        <v>2034</v>
      </c>
      <c r="M5" s="14" t="n">
        <v>2035</v>
      </c>
      <c r="N5" s="14" t="n">
        <v>2036</v>
      </c>
      <c r="O5" s="14" t="n">
        <v>2037</v>
      </c>
      <c r="P5" s="14" t="n">
        <v>2038</v>
      </c>
      <c r="Q5" s="14" t="n">
        <v>2039</v>
      </c>
      <c r="R5" s="14" t="n">
        <v>2040</v>
      </c>
      <c r="S5" s="14" t="n">
        <v>2041</v>
      </c>
      <c r="T5" s="14" t="n">
        <v>2042</v>
      </c>
      <c r="U5" s="14" t="n">
        <v>2043</v>
      </c>
      <c r="V5" s="14" t="n">
        <v>2044</v>
      </c>
      <c r="W5" s="14" t="n">
        <v>2045</v>
      </c>
      <c r="X5" s="14" t="n">
        <v>2046</v>
      </c>
      <c r="Y5" s="14" t="n">
        <v>2047</v>
      </c>
      <c r="Z5" s="14" t="n">
        <v>2048</v>
      </c>
      <c r="AA5" s="14" t="n">
        <v>2049</v>
      </c>
      <c r="AB5" s="14" t="n">
        <v>2050</v>
      </c>
      <c r="AC5" s="14" t="n">
        <v>2051</v>
      </c>
      <c r="AD5" s="14" t="n">
        <v>2052</v>
      </c>
      <c r="AE5" s="14" t="n">
        <v>2053</v>
      </c>
      <c r="AF5" s="14" t="n">
        <v>2054</v>
      </c>
      <c r="AG5" s="14" t="n">
        <v>2055</v>
      </c>
      <c r="AH5" s="14" t="n">
        <v>2056</v>
      </c>
      <c r="AI5" s="14" t="n">
        <v>2057</v>
      </c>
    </row>
    <row r="6">
      <c r="A6" s="15" t="inlineStr">
        <is>
          <t>Discount factor 1/(1+r)^t</t>
        </is>
      </c>
      <c r="B6" s="16" t="n">
        <v>1</v>
      </c>
      <c r="C6" s="16">
        <f>1/(1+'1_INPUT'!$C$5)^1</f>
        <v/>
      </c>
      <c r="D6" s="16">
        <f>1/(1+'1_INPUT'!$C$5)^2</f>
        <v/>
      </c>
      <c r="E6" s="16">
        <f>1/(1+'1_INPUT'!$C$5)^3</f>
        <v/>
      </c>
      <c r="F6" s="16">
        <f>1/(1+'1_INPUT'!$C$5)^4</f>
        <v/>
      </c>
      <c r="G6" s="16">
        <f>1/(1+'1_INPUT'!$C$5)^5</f>
        <v/>
      </c>
      <c r="H6" s="16">
        <f>1/(1+'1_INPUT'!$C$5)^6</f>
        <v/>
      </c>
      <c r="I6" s="16">
        <f>1/(1+'1_INPUT'!$C$5)^7</f>
        <v/>
      </c>
      <c r="J6" s="16">
        <f>1/(1+'1_INPUT'!$C$5)^8</f>
        <v/>
      </c>
      <c r="K6" s="16">
        <f>1/(1+'1_INPUT'!$C$5)^9</f>
        <v/>
      </c>
      <c r="L6" s="16">
        <f>1/(1+'1_INPUT'!$C$5)^10</f>
        <v/>
      </c>
      <c r="M6" s="16">
        <f>1/(1+'1_INPUT'!$C$5)^11</f>
        <v/>
      </c>
      <c r="N6" s="16">
        <f>1/(1+'1_INPUT'!$C$5)^12</f>
        <v/>
      </c>
      <c r="O6" s="16">
        <f>1/(1+'1_INPUT'!$C$5)^13</f>
        <v/>
      </c>
      <c r="P6" s="16">
        <f>1/(1+'1_INPUT'!$C$5)^14</f>
        <v/>
      </c>
      <c r="Q6" s="16">
        <f>1/(1+'1_INPUT'!$C$5)^15</f>
        <v/>
      </c>
      <c r="R6" s="16">
        <f>1/(1+'1_INPUT'!$C$5)^16</f>
        <v/>
      </c>
      <c r="S6" s="16">
        <f>1/(1+'1_INPUT'!$C$5)^17</f>
        <v/>
      </c>
      <c r="T6" s="16">
        <f>1/(1+'1_INPUT'!$C$5)^18</f>
        <v/>
      </c>
      <c r="U6" s="16">
        <f>1/(1+'1_INPUT'!$C$5)^19</f>
        <v/>
      </c>
      <c r="V6" s="16">
        <f>1/(1+'1_INPUT'!$C$5)^20</f>
        <v/>
      </c>
      <c r="W6" s="16">
        <f>1/(1+'1_INPUT'!$C$5)^21</f>
        <v/>
      </c>
      <c r="X6" s="16">
        <f>1/(1+'1_INPUT'!$C$5)^22</f>
        <v/>
      </c>
      <c r="Y6" s="16">
        <f>1/(1+'1_INPUT'!$C$5)^23</f>
        <v/>
      </c>
      <c r="Z6" s="16">
        <f>1/(1+'1_INPUT'!$C$5)^24</f>
        <v/>
      </c>
      <c r="AA6" s="16">
        <f>1/(1+'1_INPUT'!$C$5)^25</f>
        <v/>
      </c>
      <c r="AB6" s="16">
        <f>1/(1+'1_INPUT'!$C$5)^26</f>
        <v/>
      </c>
      <c r="AC6" s="16">
        <f>1/(1+'1_INPUT'!$C$5)^27</f>
        <v/>
      </c>
      <c r="AD6" s="16">
        <f>1/(1+'1_INPUT'!$C$5)^28</f>
        <v/>
      </c>
      <c r="AE6" s="16">
        <f>1/(1+'1_INPUT'!$C$5)^29</f>
        <v/>
      </c>
      <c r="AF6" s="16">
        <f>1/(1+'1_INPUT'!$C$5)^30</f>
        <v/>
      </c>
      <c r="AG6" s="16">
        <f>1/(1+'1_INPUT'!$C$5)^31</f>
        <v/>
      </c>
      <c r="AH6" s="16">
        <f>1/(1+'1_INPUT'!$C$5)^32</f>
        <v/>
      </c>
      <c r="AI6" s="16">
        <f>1/(1+'1_INPUT'!$C$5)^33</f>
        <v/>
      </c>
    </row>
    <row r="8">
      <c r="A8" s="10" t="inlineStr">
        <is>
          <t>BIAYA (COST)</t>
        </is>
      </c>
    </row>
    <row r="9">
      <c r="A9" s="3" t="inlineStr">
        <is>
          <t>Akwuisisi lahan</t>
        </is>
      </c>
      <c r="B9" s="17">
        <f>'1_INPUT'!$C$15</f>
        <v/>
      </c>
      <c r="C9" s="17" t="n">
        <v>0</v>
      </c>
      <c r="D9" s="17" t="n">
        <v>0</v>
      </c>
      <c r="E9" s="17" t="n">
        <v>0</v>
      </c>
      <c r="F9" s="17" t="n">
        <v>0</v>
      </c>
      <c r="G9" s="17" t="n">
        <v>0</v>
      </c>
      <c r="H9" s="17" t="n">
        <v>0</v>
      </c>
      <c r="I9" s="17" t="n">
        <v>0</v>
      </c>
      <c r="J9" s="17" t="n">
        <v>0</v>
      </c>
      <c r="K9" s="17" t="n">
        <v>0</v>
      </c>
      <c r="L9" s="17" t="n">
        <v>0</v>
      </c>
      <c r="M9" s="17" t="n">
        <v>0</v>
      </c>
      <c r="N9" s="17" t="n">
        <v>0</v>
      </c>
      <c r="O9" s="17" t="n">
        <v>0</v>
      </c>
      <c r="P9" s="17" t="n">
        <v>0</v>
      </c>
      <c r="Q9" s="17" t="n">
        <v>0</v>
      </c>
      <c r="R9" s="17" t="n">
        <v>0</v>
      </c>
      <c r="S9" s="17" t="n">
        <v>0</v>
      </c>
      <c r="T9" s="17" t="n">
        <v>0</v>
      </c>
      <c r="U9" s="17" t="n">
        <v>0</v>
      </c>
      <c r="V9" s="17" t="n">
        <v>0</v>
      </c>
      <c r="W9" s="17" t="n">
        <v>0</v>
      </c>
      <c r="X9" s="17" t="n">
        <v>0</v>
      </c>
      <c r="Y9" s="17" t="n">
        <v>0</v>
      </c>
      <c r="Z9" s="17" t="n">
        <v>0</v>
      </c>
      <c r="AA9" s="17" t="n">
        <v>0</v>
      </c>
      <c r="AB9" s="17" t="n">
        <v>0</v>
      </c>
      <c r="AC9" s="17" t="n">
        <v>0</v>
      </c>
      <c r="AD9" s="17" t="n">
        <v>0</v>
      </c>
      <c r="AE9" s="17" t="n">
        <v>0</v>
      </c>
      <c r="AF9" s="17" t="n">
        <v>0</v>
      </c>
      <c r="AG9" s="17" t="n">
        <v>0</v>
      </c>
      <c r="AH9" s="17" t="n">
        <v>0</v>
      </c>
      <c r="AI9" s="17" t="n">
        <v>0</v>
      </c>
    </row>
    <row r="10">
      <c r="A10" s="3" t="inlineStr">
        <is>
          <t>Konstruksi jalan &amp; struktur</t>
        </is>
      </c>
      <c r="B10" s="17">
        <f>'1_INPUT'!$C$16</f>
        <v/>
      </c>
      <c r="C10" s="17">
        <f>'1_INPUT'!$C$17</f>
        <v/>
      </c>
      <c r="D10" s="17">
        <f>'1_INPUT'!$C$18</f>
        <v/>
      </c>
      <c r="E10" s="17">
        <f>'1_INPUT'!$C$19</f>
        <v/>
      </c>
      <c r="F10" s="17" t="n">
        <v>0</v>
      </c>
      <c r="G10" s="17" t="n">
        <v>0</v>
      </c>
      <c r="H10" s="17" t="n">
        <v>0</v>
      </c>
      <c r="I10" s="17" t="n">
        <v>0</v>
      </c>
      <c r="J10" s="17" t="n">
        <v>0</v>
      </c>
      <c r="K10" s="17" t="n">
        <v>0</v>
      </c>
      <c r="L10" s="17" t="n">
        <v>0</v>
      </c>
      <c r="M10" s="17" t="n">
        <v>0</v>
      </c>
      <c r="N10" s="17" t="n">
        <v>0</v>
      </c>
      <c r="O10" s="17" t="n">
        <v>0</v>
      </c>
      <c r="P10" s="17" t="n">
        <v>0</v>
      </c>
      <c r="Q10" s="17" t="n">
        <v>0</v>
      </c>
      <c r="R10" s="17" t="n">
        <v>0</v>
      </c>
      <c r="S10" s="17" t="n">
        <v>0</v>
      </c>
      <c r="T10" s="17" t="n">
        <v>0</v>
      </c>
      <c r="U10" s="17" t="n">
        <v>0</v>
      </c>
      <c r="V10" s="17" t="n">
        <v>0</v>
      </c>
      <c r="W10" s="17" t="n">
        <v>0</v>
      </c>
      <c r="X10" s="17" t="n">
        <v>0</v>
      </c>
      <c r="Y10" s="17" t="n">
        <v>0</v>
      </c>
      <c r="Z10" s="17" t="n">
        <v>0</v>
      </c>
      <c r="AA10" s="17" t="n">
        <v>0</v>
      </c>
      <c r="AB10" s="17" t="n">
        <v>0</v>
      </c>
      <c r="AC10" s="17" t="n">
        <v>0</v>
      </c>
      <c r="AD10" s="17" t="n">
        <v>0</v>
      </c>
      <c r="AE10" s="17" t="n">
        <v>0</v>
      </c>
      <c r="AF10" s="17" t="n">
        <v>0</v>
      </c>
      <c r="AG10" s="17" t="n">
        <v>0</v>
      </c>
      <c r="AH10" s="17" t="n">
        <v>0</v>
      </c>
      <c r="AI10" s="17" t="n">
        <v>0</v>
      </c>
    </row>
    <row r="11">
      <c r="A11" s="3" t="inlineStr">
        <is>
          <t>Operasi &amp; pemeliharaan rutin</t>
        </is>
      </c>
      <c r="B11" s="17">
        <f>IF(AND(0&gt;='1_INPUT'!$C$8,0&lt;'1_INPUT'!$C$8+'1_INPUT'!$C$9),'1_INPUT'!$C$10*(1+'1_INPUT'!$C$6)^(0-'1_INPUT'!$C$8),0)</f>
        <v/>
      </c>
      <c r="C11" s="17">
        <f>IF(AND(1&gt;='1_INPUT'!$C$8,1&lt;'1_INPUT'!$C$8+'1_INPUT'!$C$9),'1_INPUT'!$C$10*(1+'1_INPUT'!$C$6)^(1-'1_INPUT'!$C$8),0)</f>
        <v/>
      </c>
      <c r="D11" s="17">
        <f>IF(AND(2&gt;='1_INPUT'!$C$8,2&lt;'1_INPUT'!$C$8+'1_INPUT'!$C$9),'1_INPUT'!$C$10*(1+'1_INPUT'!$C$6)^(2-'1_INPUT'!$C$8),0)</f>
        <v/>
      </c>
      <c r="E11" s="17">
        <f>IF(AND(3&gt;='1_INPUT'!$C$8,3&lt;'1_INPUT'!$C$8+'1_INPUT'!$C$9),'1_INPUT'!$C$10*(1+'1_INPUT'!$C$6)^(3-'1_INPUT'!$C$8),0)</f>
        <v/>
      </c>
      <c r="F11" s="17">
        <f>IF(AND(4&gt;='1_INPUT'!$C$8,4&lt;'1_INPUT'!$C$8+'1_INPUT'!$C$9),'1_INPUT'!$C$10*(1+'1_INPUT'!$C$6)^(4-'1_INPUT'!$C$8),0)</f>
        <v/>
      </c>
      <c r="G11" s="17">
        <f>IF(AND(5&gt;='1_INPUT'!$C$8,5&lt;'1_INPUT'!$C$8+'1_INPUT'!$C$9),'1_INPUT'!$C$10*(1+'1_INPUT'!$C$6)^(5-'1_INPUT'!$C$8),0)</f>
        <v/>
      </c>
      <c r="H11" s="17">
        <f>IF(AND(6&gt;='1_INPUT'!$C$8,6&lt;'1_INPUT'!$C$8+'1_INPUT'!$C$9),'1_INPUT'!$C$10*(1+'1_INPUT'!$C$6)^(6-'1_INPUT'!$C$8),0)</f>
        <v/>
      </c>
      <c r="I11" s="17">
        <f>IF(AND(7&gt;='1_INPUT'!$C$8,7&lt;'1_INPUT'!$C$8+'1_INPUT'!$C$9),'1_INPUT'!$C$10*(1+'1_INPUT'!$C$6)^(7-'1_INPUT'!$C$8),0)</f>
        <v/>
      </c>
      <c r="J11" s="17">
        <f>IF(AND(8&gt;='1_INPUT'!$C$8,8&lt;'1_INPUT'!$C$8+'1_INPUT'!$C$9),'1_INPUT'!$C$10*(1+'1_INPUT'!$C$6)^(8-'1_INPUT'!$C$8),0)</f>
        <v/>
      </c>
      <c r="K11" s="17">
        <f>IF(AND(9&gt;='1_INPUT'!$C$8,9&lt;'1_INPUT'!$C$8+'1_INPUT'!$C$9),'1_INPUT'!$C$10*(1+'1_INPUT'!$C$6)^(9-'1_INPUT'!$C$8),0)</f>
        <v/>
      </c>
      <c r="L11" s="17">
        <f>IF(AND(10&gt;='1_INPUT'!$C$8,10&lt;'1_INPUT'!$C$8+'1_INPUT'!$C$9),'1_INPUT'!$C$10*(1+'1_INPUT'!$C$6)^(10-'1_INPUT'!$C$8),0)</f>
        <v/>
      </c>
      <c r="M11" s="17">
        <f>IF(AND(11&gt;='1_INPUT'!$C$8,11&lt;'1_INPUT'!$C$8+'1_INPUT'!$C$9),'1_INPUT'!$C$10*(1+'1_INPUT'!$C$6)^(11-'1_INPUT'!$C$8),0)</f>
        <v/>
      </c>
      <c r="N11" s="17">
        <f>IF(AND(12&gt;='1_INPUT'!$C$8,12&lt;'1_INPUT'!$C$8+'1_INPUT'!$C$9),'1_INPUT'!$C$10*(1+'1_INPUT'!$C$6)^(12-'1_INPUT'!$C$8),0)</f>
        <v/>
      </c>
      <c r="O11" s="17">
        <f>IF(AND(13&gt;='1_INPUT'!$C$8,13&lt;'1_INPUT'!$C$8+'1_INPUT'!$C$9),'1_INPUT'!$C$10*(1+'1_INPUT'!$C$6)^(13-'1_INPUT'!$C$8),0)</f>
        <v/>
      </c>
      <c r="P11" s="17">
        <f>IF(AND(14&gt;='1_INPUT'!$C$8,14&lt;'1_INPUT'!$C$8+'1_INPUT'!$C$9),'1_INPUT'!$C$10*(1+'1_INPUT'!$C$6)^(14-'1_INPUT'!$C$8),0)</f>
        <v/>
      </c>
      <c r="Q11" s="17">
        <f>IF(AND(15&gt;='1_INPUT'!$C$8,15&lt;'1_INPUT'!$C$8+'1_INPUT'!$C$9),'1_INPUT'!$C$10*(1+'1_INPUT'!$C$6)^(15-'1_INPUT'!$C$8),0)</f>
        <v/>
      </c>
      <c r="R11" s="17">
        <f>IF(AND(16&gt;='1_INPUT'!$C$8,16&lt;'1_INPUT'!$C$8+'1_INPUT'!$C$9),'1_INPUT'!$C$10*(1+'1_INPUT'!$C$6)^(16-'1_INPUT'!$C$8),0)</f>
        <v/>
      </c>
      <c r="S11" s="17">
        <f>IF(AND(17&gt;='1_INPUT'!$C$8,17&lt;'1_INPUT'!$C$8+'1_INPUT'!$C$9),'1_INPUT'!$C$10*(1+'1_INPUT'!$C$6)^(17-'1_INPUT'!$C$8),0)</f>
        <v/>
      </c>
      <c r="T11" s="17">
        <f>IF(AND(18&gt;='1_INPUT'!$C$8,18&lt;'1_INPUT'!$C$8+'1_INPUT'!$C$9),'1_INPUT'!$C$10*(1+'1_INPUT'!$C$6)^(18-'1_INPUT'!$C$8),0)</f>
        <v/>
      </c>
      <c r="U11" s="17">
        <f>IF(AND(19&gt;='1_INPUT'!$C$8,19&lt;'1_INPUT'!$C$8+'1_INPUT'!$C$9),'1_INPUT'!$C$10*(1+'1_INPUT'!$C$6)^(19-'1_INPUT'!$C$8),0)</f>
        <v/>
      </c>
      <c r="V11" s="17">
        <f>IF(AND(20&gt;='1_INPUT'!$C$8,20&lt;'1_INPUT'!$C$8+'1_INPUT'!$C$9),'1_INPUT'!$C$10*(1+'1_INPUT'!$C$6)^(20-'1_INPUT'!$C$8),0)</f>
        <v/>
      </c>
      <c r="W11" s="17">
        <f>IF(AND(21&gt;='1_INPUT'!$C$8,21&lt;'1_INPUT'!$C$8+'1_INPUT'!$C$9),'1_INPUT'!$C$10*(1+'1_INPUT'!$C$6)^(21-'1_INPUT'!$C$8),0)</f>
        <v/>
      </c>
      <c r="X11" s="17">
        <f>IF(AND(22&gt;='1_INPUT'!$C$8,22&lt;'1_INPUT'!$C$8+'1_INPUT'!$C$9),'1_INPUT'!$C$10*(1+'1_INPUT'!$C$6)^(22-'1_INPUT'!$C$8),0)</f>
        <v/>
      </c>
      <c r="Y11" s="17">
        <f>IF(AND(23&gt;='1_INPUT'!$C$8,23&lt;'1_INPUT'!$C$8+'1_INPUT'!$C$9),'1_INPUT'!$C$10*(1+'1_INPUT'!$C$6)^(23-'1_INPUT'!$C$8),0)</f>
        <v/>
      </c>
      <c r="Z11" s="17">
        <f>IF(AND(24&gt;='1_INPUT'!$C$8,24&lt;'1_INPUT'!$C$8+'1_INPUT'!$C$9),'1_INPUT'!$C$10*(1+'1_INPUT'!$C$6)^(24-'1_INPUT'!$C$8),0)</f>
        <v/>
      </c>
      <c r="AA11" s="17">
        <f>IF(AND(25&gt;='1_INPUT'!$C$8,25&lt;'1_INPUT'!$C$8+'1_INPUT'!$C$9),'1_INPUT'!$C$10*(1+'1_INPUT'!$C$6)^(25-'1_INPUT'!$C$8),0)</f>
        <v/>
      </c>
      <c r="AB11" s="17">
        <f>IF(AND(26&gt;='1_INPUT'!$C$8,26&lt;'1_INPUT'!$C$8+'1_INPUT'!$C$9),'1_INPUT'!$C$10*(1+'1_INPUT'!$C$6)^(26-'1_INPUT'!$C$8),0)</f>
        <v/>
      </c>
      <c r="AC11" s="17">
        <f>IF(AND(27&gt;='1_INPUT'!$C$8,27&lt;'1_INPUT'!$C$8+'1_INPUT'!$C$9),'1_INPUT'!$C$10*(1+'1_INPUT'!$C$6)^(27-'1_INPUT'!$C$8),0)</f>
        <v/>
      </c>
      <c r="AD11" s="17">
        <f>IF(AND(28&gt;='1_INPUT'!$C$8,28&lt;'1_INPUT'!$C$8+'1_INPUT'!$C$9),'1_INPUT'!$C$10*(1+'1_INPUT'!$C$6)^(28-'1_INPUT'!$C$8),0)</f>
        <v/>
      </c>
      <c r="AE11" s="17">
        <f>IF(AND(29&gt;='1_INPUT'!$C$8,29&lt;'1_INPUT'!$C$8+'1_INPUT'!$C$9),'1_INPUT'!$C$10*(1+'1_INPUT'!$C$6)^(29-'1_INPUT'!$C$8),0)</f>
        <v/>
      </c>
      <c r="AF11" s="17">
        <f>IF(AND(30&gt;='1_INPUT'!$C$8,30&lt;'1_INPUT'!$C$8+'1_INPUT'!$C$9),'1_INPUT'!$C$10*(1+'1_INPUT'!$C$6)^(30-'1_INPUT'!$C$8),0)</f>
        <v/>
      </c>
      <c r="AG11" s="17">
        <f>IF(AND(31&gt;='1_INPUT'!$C$8,31&lt;'1_INPUT'!$C$8+'1_INPUT'!$C$9),'1_INPUT'!$C$10*(1+'1_INPUT'!$C$6)^(31-'1_INPUT'!$C$8),0)</f>
        <v/>
      </c>
      <c r="AH11" s="17">
        <f>IF(AND(32&gt;='1_INPUT'!$C$8,32&lt;'1_INPUT'!$C$8+'1_INPUT'!$C$9),'1_INPUT'!$C$10*(1+'1_INPUT'!$C$6)^(32-'1_INPUT'!$C$8),0)</f>
        <v/>
      </c>
      <c r="AI11" s="17">
        <f>IF(AND(33&gt;='1_INPUT'!$C$8,33&lt;'1_INPUT'!$C$8+'1_INPUT'!$C$9),'1_INPUT'!$C$10*(1+'1_INPUT'!$C$6)^(33-'1_INPUT'!$C$8),0)</f>
        <v/>
      </c>
    </row>
    <row r="12">
      <c r="A12" s="3" t="inlineStr">
        <is>
          <t>Pemeliharaan besar (8-thn)</t>
        </is>
      </c>
      <c r="B12" s="17">
        <f>IF(AND(0&gt;='1_INPUT'!$C$8,OR(0='1_INPUT'!$C$8+7,0='1_INPUT'!$C$8+15,0='1_INPUT'!$C$8+23)),'1_INPUT'!$C$14,0)</f>
        <v/>
      </c>
      <c r="C12" s="17">
        <f>IF(AND(1&gt;='1_INPUT'!$C$8,OR(1='1_INPUT'!$C$8+7,1='1_INPUT'!$C$8+15,1='1_INPUT'!$C$8+23)),'1_INPUT'!$C$14,0)</f>
        <v/>
      </c>
      <c r="D12" s="17">
        <f>IF(AND(2&gt;='1_INPUT'!$C$8,OR(2='1_INPUT'!$C$8+7,2='1_INPUT'!$C$8+15,2='1_INPUT'!$C$8+23)),'1_INPUT'!$C$14,0)</f>
        <v/>
      </c>
      <c r="E12" s="17">
        <f>IF(AND(3&gt;='1_INPUT'!$C$8,OR(3='1_INPUT'!$C$8+7,3='1_INPUT'!$C$8+15,3='1_INPUT'!$C$8+23)),'1_INPUT'!$C$14,0)</f>
        <v/>
      </c>
      <c r="F12" s="17">
        <f>IF(AND(4&gt;='1_INPUT'!$C$8,OR(4='1_INPUT'!$C$8+7,4='1_INPUT'!$C$8+15,4='1_INPUT'!$C$8+23)),'1_INPUT'!$C$14,0)</f>
        <v/>
      </c>
      <c r="G12" s="17">
        <f>IF(AND(5&gt;='1_INPUT'!$C$8,OR(5='1_INPUT'!$C$8+7,5='1_INPUT'!$C$8+15,5='1_INPUT'!$C$8+23)),'1_INPUT'!$C$14,0)</f>
        <v/>
      </c>
      <c r="H12" s="17">
        <f>IF(AND(6&gt;='1_INPUT'!$C$8,OR(6='1_INPUT'!$C$8+7,6='1_INPUT'!$C$8+15,6='1_INPUT'!$C$8+23)),'1_INPUT'!$C$14,0)</f>
        <v/>
      </c>
      <c r="I12" s="17">
        <f>IF(AND(7&gt;='1_INPUT'!$C$8,OR(7='1_INPUT'!$C$8+7,7='1_INPUT'!$C$8+15,7='1_INPUT'!$C$8+23)),'1_INPUT'!$C$14,0)</f>
        <v/>
      </c>
      <c r="J12" s="17">
        <f>IF(AND(8&gt;='1_INPUT'!$C$8,OR(8='1_INPUT'!$C$8+7,8='1_INPUT'!$C$8+15,8='1_INPUT'!$C$8+23)),'1_INPUT'!$C$14,0)</f>
        <v/>
      </c>
      <c r="K12" s="17">
        <f>IF(AND(9&gt;='1_INPUT'!$C$8,OR(9='1_INPUT'!$C$8+7,9='1_INPUT'!$C$8+15,9='1_INPUT'!$C$8+23)),'1_INPUT'!$C$14,0)</f>
        <v/>
      </c>
      <c r="L12" s="17">
        <f>IF(AND(10&gt;='1_INPUT'!$C$8,OR(10='1_INPUT'!$C$8+7,10='1_INPUT'!$C$8+15,10='1_INPUT'!$C$8+23)),'1_INPUT'!$C$14,0)</f>
        <v/>
      </c>
      <c r="M12" s="17">
        <f>IF(AND(11&gt;='1_INPUT'!$C$8,OR(11='1_INPUT'!$C$8+7,11='1_INPUT'!$C$8+15,11='1_INPUT'!$C$8+23)),'1_INPUT'!$C$14,0)</f>
        <v/>
      </c>
      <c r="N12" s="17">
        <f>IF(AND(12&gt;='1_INPUT'!$C$8,OR(12='1_INPUT'!$C$8+7,12='1_INPUT'!$C$8+15,12='1_INPUT'!$C$8+23)),'1_INPUT'!$C$14,0)</f>
        <v/>
      </c>
      <c r="O12" s="17">
        <f>IF(AND(13&gt;='1_INPUT'!$C$8,OR(13='1_INPUT'!$C$8+7,13='1_INPUT'!$C$8+15,13='1_INPUT'!$C$8+23)),'1_INPUT'!$C$14,0)</f>
        <v/>
      </c>
      <c r="P12" s="17">
        <f>IF(AND(14&gt;='1_INPUT'!$C$8,OR(14='1_INPUT'!$C$8+7,14='1_INPUT'!$C$8+15,14='1_INPUT'!$C$8+23)),'1_INPUT'!$C$14,0)</f>
        <v/>
      </c>
      <c r="Q12" s="17">
        <f>IF(AND(15&gt;='1_INPUT'!$C$8,OR(15='1_INPUT'!$C$8+7,15='1_INPUT'!$C$8+15,15='1_INPUT'!$C$8+23)),'1_INPUT'!$C$14,0)</f>
        <v/>
      </c>
      <c r="R12" s="17">
        <f>IF(AND(16&gt;='1_INPUT'!$C$8,OR(16='1_INPUT'!$C$8+7,16='1_INPUT'!$C$8+15,16='1_INPUT'!$C$8+23)),'1_INPUT'!$C$14,0)</f>
        <v/>
      </c>
      <c r="S12" s="17">
        <f>IF(AND(17&gt;='1_INPUT'!$C$8,OR(17='1_INPUT'!$C$8+7,17='1_INPUT'!$C$8+15,17='1_INPUT'!$C$8+23)),'1_INPUT'!$C$14,0)</f>
        <v/>
      </c>
      <c r="T12" s="17">
        <f>IF(AND(18&gt;='1_INPUT'!$C$8,OR(18='1_INPUT'!$C$8+7,18='1_INPUT'!$C$8+15,18='1_INPUT'!$C$8+23)),'1_INPUT'!$C$14,0)</f>
        <v/>
      </c>
      <c r="U12" s="17">
        <f>IF(AND(19&gt;='1_INPUT'!$C$8,OR(19='1_INPUT'!$C$8+7,19='1_INPUT'!$C$8+15,19='1_INPUT'!$C$8+23)),'1_INPUT'!$C$14,0)</f>
        <v/>
      </c>
      <c r="V12" s="17">
        <f>IF(AND(20&gt;='1_INPUT'!$C$8,OR(20='1_INPUT'!$C$8+7,20='1_INPUT'!$C$8+15,20='1_INPUT'!$C$8+23)),'1_INPUT'!$C$14,0)</f>
        <v/>
      </c>
      <c r="W12" s="17">
        <f>IF(AND(21&gt;='1_INPUT'!$C$8,OR(21='1_INPUT'!$C$8+7,21='1_INPUT'!$C$8+15,21='1_INPUT'!$C$8+23)),'1_INPUT'!$C$14,0)</f>
        <v/>
      </c>
      <c r="X12" s="17">
        <f>IF(AND(22&gt;='1_INPUT'!$C$8,OR(22='1_INPUT'!$C$8+7,22='1_INPUT'!$C$8+15,22='1_INPUT'!$C$8+23)),'1_INPUT'!$C$14,0)</f>
        <v/>
      </c>
      <c r="Y12" s="17">
        <f>IF(AND(23&gt;='1_INPUT'!$C$8,OR(23='1_INPUT'!$C$8+7,23='1_INPUT'!$C$8+15,23='1_INPUT'!$C$8+23)),'1_INPUT'!$C$14,0)</f>
        <v/>
      </c>
      <c r="Z12" s="17">
        <f>IF(AND(24&gt;='1_INPUT'!$C$8,OR(24='1_INPUT'!$C$8+7,24='1_INPUT'!$C$8+15,24='1_INPUT'!$C$8+23)),'1_INPUT'!$C$14,0)</f>
        <v/>
      </c>
      <c r="AA12" s="17">
        <f>IF(AND(25&gt;='1_INPUT'!$C$8,OR(25='1_INPUT'!$C$8+7,25='1_INPUT'!$C$8+15,25='1_INPUT'!$C$8+23)),'1_INPUT'!$C$14,0)</f>
        <v/>
      </c>
      <c r="AB12" s="17">
        <f>IF(AND(26&gt;='1_INPUT'!$C$8,OR(26='1_INPUT'!$C$8+7,26='1_INPUT'!$C$8+15,26='1_INPUT'!$C$8+23)),'1_INPUT'!$C$14,0)</f>
        <v/>
      </c>
      <c r="AC12" s="17">
        <f>IF(AND(27&gt;='1_INPUT'!$C$8,OR(27='1_INPUT'!$C$8+7,27='1_INPUT'!$C$8+15,27='1_INPUT'!$C$8+23)),'1_INPUT'!$C$14,0)</f>
        <v/>
      </c>
      <c r="AD12" s="17">
        <f>IF(AND(28&gt;='1_INPUT'!$C$8,OR(28='1_INPUT'!$C$8+7,28='1_INPUT'!$C$8+15,28='1_INPUT'!$C$8+23)),'1_INPUT'!$C$14,0)</f>
        <v/>
      </c>
      <c r="AE12" s="17">
        <f>IF(AND(29&gt;='1_INPUT'!$C$8,OR(29='1_INPUT'!$C$8+7,29='1_INPUT'!$C$8+15,29='1_INPUT'!$C$8+23)),'1_INPUT'!$C$14,0)</f>
        <v/>
      </c>
      <c r="AF12" s="17">
        <f>IF(AND(30&gt;='1_INPUT'!$C$8,OR(30='1_INPUT'!$C$8+7,30='1_INPUT'!$C$8+15,30='1_INPUT'!$C$8+23)),'1_INPUT'!$C$14,0)</f>
        <v/>
      </c>
      <c r="AG12" s="17">
        <f>IF(AND(31&gt;='1_INPUT'!$C$8,OR(31='1_INPUT'!$C$8+7,31='1_INPUT'!$C$8+15,31='1_INPUT'!$C$8+23)),'1_INPUT'!$C$14,0)</f>
        <v/>
      </c>
      <c r="AH12" s="17">
        <f>IF(AND(32&gt;='1_INPUT'!$C$8,OR(32='1_INPUT'!$C$8+7,32='1_INPUT'!$C$8+15,32='1_INPUT'!$C$8+23)),'1_INPUT'!$C$14,0)</f>
        <v/>
      </c>
      <c r="AI12" s="17">
        <f>IF(AND(33&gt;='1_INPUT'!$C$8,OR(33='1_INPUT'!$C$8+7,33='1_INPUT'!$C$8+15,33='1_INPUT'!$C$8+23)),'1_INPUT'!$C$14,0)</f>
        <v/>
      </c>
    </row>
    <row r="13">
      <c r="A13" s="18" t="inlineStr">
        <is>
          <t>TOTAL BIAYA</t>
        </is>
      </c>
      <c r="B13" s="19">
        <f>SUM(B9:B12)</f>
        <v/>
      </c>
      <c r="C13" s="19">
        <f>SUM(C9:C12)</f>
        <v/>
      </c>
      <c r="D13" s="19">
        <f>SUM(D9:D12)</f>
        <v/>
      </c>
      <c r="E13" s="19">
        <f>SUM(E9:E12)</f>
        <v/>
      </c>
      <c r="F13" s="19">
        <f>SUM(F9:F12)</f>
        <v/>
      </c>
      <c r="G13" s="19">
        <f>SUM(G9:G12)</f>
        <v/>
      </c>
      <c r="H13" s="19">
        <f>SUM(H9:H12)</f>
        <v/>
      </c>
      <c r="I13" s="19">
        <f>SUM(I9:I12)</f>
        <v/>
      </c>
      <c r="J13" s="19">
        <f>SUM(J9:J12)</f>
        <v/>
      </c>
      <c r="K13" s="19">
        <f>SUM(K9:K12)</f>
        <v/>
      </c>
      <c r="L13" s="19">
        <f>SUM(L9:L12)</f>
        <v/>
      </c>
      <c r="M13" s="19">
        <f>SUM(M9:M12)</f>
        <v/>
      </c>
      <c r="N13" s="19">
        <f>SUM(N9:N12)</f>
        <v/>
      </c>
      <c r="O13" s="19">
        <f>SUM(O9:O12)</f>
        <v/>
      </c>
      <c r="P13" s="19">
        <f>SUM(P9:P12)</f>
        <v/>
      </c>
      <c r="Q13" s="19">
        <f>SUM(Q9:Q12)</f>
        <v/>
      </c>
      <c r="R13" s="19">
        <f>SUM(R9:R12)</f>
        <v/>
      </c>
      <c r="S13" s="19">
        <f>SUM(S9:S12)</f>
        <v/>
      </c>
      <c r="T13" s="19">
        <f>SUM(T9:T12)</f>
        <v/>
      </c>
      <c r="U13" s="19">
        <f>SUM(U9:U12)</f>
        <v/>
      </c>
      <c r="V13" s="19">
        <f>SUM(V9:V12)</f>
        <v/>
      </c>
      <c r="W13" s="19">
        <f>SUM(W9:W12)</f>
        <v/>
      </c>
      <c r="X13" s="19">
        <f>SUM(X9:X12)</f>
        <v/>
      </c>
      <c r="Y13" s="19">
        <f>SUM(Y9:Y12)</f>
        <v/>
      </c>
      <c r="Z13" s="19">
        <f>SUM(Z9:Z12)</f>
        <v/>
      </c>
      <c r="AA13" s="19">
        <f>SUM(AA9:AA12)</f>
        <v/>
      </c>
      <c r="AB13" s="19">
        <f>SUM(AB9:AB12)</f>
        <v/>
      </c>
      <c r="AC13" s="19">
        <f>SUM(AC9:AC12)</f>
        <v/>
      </c>
      <c r="AD13" s="19">
        <f>SUM(AD9:AD12)</f>
        <v/>
      </c>
      <c r="AE13" s="19">
        <f>SUM(AE9:AE12)</f>
        <v/>
      </c>
      <c r="AF13" s="19">
        <f>SUM(AF9:AF12)</f>
        <v/>
      </c>
      <c r="AG13" s="19">
        <f>SUM(AG9:AG12)</f>
        <v/>
      </c>
      <c r="AH13" s="19">
        <f>SUM(AH9:AH12)</f>
        <v/>
      </c>
      <c r="AI13" s="19">
        <f>SUM(AI9:AI12)</f>
        <v/>
      </c>
    </row>
    <row r="15">
      <c r="A15" s="10" t="inlineStr">
        <is>
          <t>MANFAAT (BENEFIT) TERMONETISASI</t>
        </is>
      </c>
    </row>
    <row r="16">
      <c r="A16" s="3" t="inlineStr">
        <is>
          <t>Penghematan waktu (direct)</t>
        </is>
      </c>
      <c r="B16" s="17">
        <f>IF(AND(0&gt;='1_INPUT'!$C$8,0&lt;'1_INPUT'!$C$8+'1_INPUT'!$C$9),'1_INPUT'!$C$11*(1+'1_INPUT'!$C$7)^(0-'1_INPUT'!$C$8),0)</f>
        <v/>
      </c>
      <c r="C16" s="17">
        <f>IF(AND(1&gt;='1_INPUT'!$C$8,1&lt;'1_INPUT'!$C$8+'1_INPUT'!$C$9),'1_INPUT'!$C$11*(1+'1_INPUT'!$C$7)^(1-'1_INPUT'!$C$8),0)</f>
        <v/>
      </c>
      <c r="D16" s="17">
        <f>IF(AND(2&gt;='1_INPUT'!$C$8,2&lt;'1_INPUT'!$C$8+'1_INPUT'!$C$9),'1_INPUT'!$C$11*(1+'1_INPUT'!$C$7)^(2-'1_INPUT'!$C$8),0)</f>
        <v/>
      </c>
      <c r="E16" s="17">
        <f>IF(AND(3&gt;='1_INPUT'!$C$8,3&lt;'1_INPUT'!$C$8+'1_INPUT'!$C$9),'1_INPUT'!$C$11*(1+'1_INPUT'!$C$7)^(3-'1_INPUT'!$C$8),0)</f>
        <v/>
      </c>
      <c r="F16" s="17">
        <f>IF(AND(4&gt;='1_INPUT'!$C$8,4&lt;'1_INPUT'!$C$8+'1_INPUT'!$C$9),'1_INPUT'!$C$11*(1+'1_INPUT'!$C$7)^(4-'1_INPUT'!$C$8),0)</f>
        <v/>
      </c>
      <c r="G16" s="17">
        <f>IF(AND(5&gt;='1_INPUT'!$C$8,5&lt;'1_INPUT'!$C$8+'1_INPUT'!$C$9),'1_INPUT'!$C$11*(1+'1_INPUT'!$C$7)^(5-'1_INPUT'!$C$8),0)</f>
        <v/>
      </c>
      <c r="H16" s="17">
        <f>IF(AND(6&gt;='1_INPUT'!$C$8,6&lt;'1_INPUT'!$C$8+'1_INPUT'!$C$9),'1_INPUT'!$C$11*(1+'1_INPUT'!$C$7)^(6-'1_INPUT'!$C$8),0)</f>
        <v/>
      </c>
      <c r="I16" s="17">
        <f>IF(AND(7&gt;='1_INPUT'!$C$8,7&lt;'1_INPUT'!$C$8+'1_INPUT'!$C$9),'1_INPUT'!$C$11*(1+'1_INPUT'!$C$7)^(7-'1_INPUT'!$C$8),0)</f>
        <v/>
      </c>
      <c r="J16" s="17">
        <f>IF(AND(8&gt;='1_INPUT'!$C$8,8&lt;'1_INPUT'!$C$8+'1_INPUT'!$C$9),'1_INPUT'!$C$11*(1+'1_INPUT'!$C$7)^(8-'1_INPUT'!$C$8),0)</f>
        <v/>
      </c>
      <c r="K16" s="17">
        <f>IF(AND(9&gt;='1_INPUT'!$C$8,9&lt;'1_INPUT'!$C$8+'1_INPUT'!$C$9),'1_INPUT'!$C$11*(1+'1_INPUT'!$C$7)^(9-'1_INPUT'!$C$8),0)</f>
        <v/>
      </c>
      <c r="L16" s="17">
        <f>IF(AND(10&gt;='1_INPUT'!$C$8,10&lt;'1_INPUT'!$C$8+'1_INPUT'!$C$9),'1_INPUT'!$C$11*(1+'1_INPUT'!$C$7)^(10-'1_INPUT'!$C$8),0)</f>
        <v/>
      </c>
      <c r="M16" s="17">
        <f>IF(AND(11&gt;='1_INPUT'!$C$8,11&lt;'1_INPUT'!$C$8+'1_INPUT'!$C$9),'1_INPUT'!$C$11*(1+'1_INPUT'!$C$7)^(11-'1_INPUT'!$C$8),0)</f>
        <v/>
      </c>
      <c r="N16" s="17">
        <f>IF(AND(12&gt;='1_INPUT'!$C$8,12&lt;'1_INPUT'!$C$8+'1_INPUT'!$C$9),'1_INPUT'!$C$11*(1+'1_INPUT'!$C$7)^(12-'1_INPUT'!$C$8),0)</f>
        <v/>
      </c>
      <c r="O16" s="17">
        <f>IF(AND(13&gt;='1_INPUT'!$C$8,13&lt;'1_INPUT'!$C$8+'1_INPUT'!$C$9),'1_INPUT'!$C$11*(1+'1_INPUT'!$C$7)^(13-'1_INPUT'!$C$8),0)</f>
        <v/>
      </c>
      <c r="P16" s="17">
        <f>IF(AND(14&gt;='1_INPUT'!$C$8,14&lt;'1_INPUT'!$C$8+'1_INPUT'!$C$9),'1_INPUT'!$C$11*(1+'1_INPUT'!$C$7)^(14-'1_INPUT'!$C$8),0)</f>
        <v/>
      </c>
      <c r="Q16" s="17">
        <f>IF(AND(15&gt;='1_INPUT'!$C$8,15&lt;'1_INPUT'!$C$8+'1_INPUT'!$C$9),'1_INPUT'!$C$11*(1+'1_INPUT'!$C$7)^(15-'1_INPUT'!$C$8),0)</f>
        <v/>
      </c>
      <c r="R16" s="17">
        <f>IF(AND(16&gt;='1_INPUT'!$C$8,16&lt;'1_INPUT'!$C$8+'1_INPUT'!$C$9),'1_INPUT'!$C$11*(1+'1_INPUT'!$C$7)^(16-'1_INPUT'!$C$8),0)</f>
        <v/>
      </c>
      <c r="S16" s="17">
        <f>IF(AND(17&gt;='1_INPUT'!$C$8,17&lt;'1_INPUT'!$C$8+'1_INPUT'!$C$9),'1_INPUT'!$C$11*(1+'1_INPUT'!$C$7)^(17-'1_INPUT'!$C$8),0)</f>
        <v/>
      </c>
      <c r="T16" s="17">
        <f>IF(AND(18&gt;='1_INPUT'!$C$8,18&lt;'1_INPUT'!$C$8+'1_INPUT'!$C$9),'1_INPUT'!$C$11*(1+'1_INPUT'!$C$7)^(18-'1_INPUT'!$C$8),0)</f>
        <v/>
      </c>
      <c r="U16" s="17">
        <f>IF(AND(19&gt;='1_INPUT'!$C$8,19&lt;'1_INPUT'!$C$8+'1_INPUT'!$C$9),'1_INPUT'!$C$11*(1+'1_INPUT'!$C$7)^(19-'1_INPUT'!$C$8),0)</f>
        <v/>
      </c>
      <c r="V16" s="17">
        <f>IF(AND(20&gt;='1_INPUT'!$C$8,20&lt;'1_INPUT'!$C$8+'1_INPUT'!$C$9),'1_INPUT'!$C$11*(1+'1_INPUT'!$C$7)^(20-'1_INPUT'!$C$8),0)</f>
        <v/>
      </c>
      <c r="W16" s="17">
        <f>IF(AND(21&gt;='1_INPUT'!$C$8,21&lt;'1_INPUT'!$C$8+'1_INPUT'!$C$9),'1_INPUT'!$C$11*(1+'1_INPUT'!$C$7)^(21-'1_INPUT'!$C$8),0)</f>
        <v/>
      </c>
      <c r="X16" s="17">
        <f>IF(AND(22&gt;='1_INPUT'!$C$8,22&lt;'1_INPUT'!$C$8+'1_INPUT'!$C$9),'1_INPUT'!$C$11*(1+'1_INPUT'!$C$7)^(22-'1_INPUT'!$C$8),0)</f>
        <v/>
      </c>
      <c r="Y16" s="17">
        <f>IF(AND(23&gt;='1_INPUT'!$C$8,23&lt;'1_INPUT'!$C$8+'1_INPUT'!$C$9),'1_INPUT'!$C$11*(1+'1_INPUT'!$C$7)^(23-'1_INPUT'!$C$8),0)</f>
        <v/>
      </c>
      <c r="Z16" s="17">
        <f>IF(AND(24&gt;='1_INPUT'!$C$8,24&lt;'1_INPUT'!$C$8+'1_INPUT'!$C$9),'1_INPUT'!$C$11*(1+'1_INPUT'!$C$7)^(24-'1_INPUT'!$C$8),0)</f>
        <v/>
      </c>
      <c r="AA16" s="17">
        <f>IF(AND(25&gt;='1_INPUT'!$C$8,25&lt;'1_INPUT'!$C$8+'1_INPUT'!$C$9),'1_INPUT'!$C$11*(1+'1_INPUT'!$C$7)^(25-'1_INPUT'!$C$8),0)</f>
        <v/>
      </c>
      <c r="AB16" s="17">
        <f>IF(AND(26&gt;='1_INPUT'!$C$8,26&lt;'1_INPUT'!$C$8+'1_INPUT'!$C$9),'1_INPUT'!$C$11*(1+'1_INPUT'!$C$7)^(26-'1_INPUT'!$C$8),0)</f>
        <v/>
      </c>
      <c r="AC16" s="17">
        <f>IF(AND(27&gt;='1_INPUT'!$C$8,27&lt;'1_INPUT'!$C$8+'1_INPUT'!$C$9),'1_INPUT'!$C$11*(1+'1_INPUT'!$C$7)^(27-'1_INPUT'!$C$8),0)</f>
        <v/>
      </c>
      <c r="AD16" s="17">
        <f>IF(AND(28&gt;='1_INPUT'!$C$8,28&lt;'1_INPUT'!$C$8+'1_INPUT'!$C$9),'1_INPUT'!$C$11*(1+'1_INPUT'!$C$7)^(28-'1_INPUT'!$C$8),0)</f>
        <v/>
      </c>
      <c r="AE16" s="17">
        <f>IF(AND(29&gt;='1_INPUT'!$C$8,29&lt;'1_INPUT'!$C$8+'1_INPUT'!$C$9),'1_INPUT'!$C$11*(1+'1_INPUT'!$C$7)^(29-'1_INPUT'!$C$8),0)</f>
        <v/>
      </c>
      <c r="AF16" s="17">
        <f>IF(AND(30&gt;='1_INPUT'!$C$8,30&lt;'1_INPUT'!$C$8+'1_INPUT'!$C$9),'1_INPUT'!$C$11*(1+'1_INPUT'!$C$7)^(30-'1_INPUT'!$C$8),0)</f>
        <v/>
      </c>
      <c r="AG16" s="17">
        <f>IF(AND(31&gt;='1_INPUT'!$C$8,31&lt;'1_INPUT'!$C$8+'1_INPUT'!$C$9),'1_INPUT'!$C$11*(1+'1_INPUT'!$C$7)^(31-'1_INPUT'!$C$8),0)</f>
        <v/>
      </c>
      <c r="AH16" s="17">
        <f>IF(AND(32&gt;='1_INPUT'!$C$8,32&lt;'1_INPUT'!$C$8+'1_INPUT'!$C$9),'1_INPUT'!$C$11*(1+'1_INPUT'!$C$7)^(32-'1_INPUT'!$C$8),0)</f>
        <v/>
      </c>
      <c r="AI16" s="17">
        <f>IF(AND(33&gt;='1_INPUT'!$C$8,33&lt;'1_INPUT'!$C$8+'1_INPUT'!$C$9),'1_INPUT'!$C$11*(1+'1_INPUT'!$C$7)^(33-'1_INPUT'!$C$8),0)</f>
        <v/>
      </c>
    </row>
    <row r="17">
      <c r="A17" s="3" t="inlineStr">
        <is>
          <t>Penghematan BOK kendaraan (direct)</t>
        </is>
      </c>
      <c r="B17" s="17">
        <f>IF(AND(0&gt;='1_INPUT'!$C$8,0&lt;'1_INPUT'!$C$8+'1_INPUT'!$C$9),'1_INPUT'!$C$12*(1+'1_INPUT'!$C$7)^(0-'1_INPUT'!$C$8),0)</f>
        <v/>
      </c>
      <c r="C17" s="17">
        <f>IF(AND(1&gt;='1_INPUT'!$C$8,1&lt;'1_INPUT'!$C$8+'1_INPUT'!$C$9),'1_INPUT'!$C$12*(1+'1_INPUT'!$C$7)^(1-'1_INPUT'!$C$8),0)</f>
        <v/>
      </c>
      <c r="D17" s="17">
        <f>IF(AND(2&gt;='1_INPUT'!$C$8,2&lt;'1_INPUT'!$C$8+'1_INPUT'!$C$9),'1_INPUT'!$C$12*(1+'1_INPUT'!$C$7)^(2-'1_INPUT'!$C$8),0)</f>
        <v/>
      </c>
      <c r="E17" s="17">
        <f>IF(AND(3&gt;='1_INPUT'!$C$8,3&lt;'1_INPUT'!$C$8+'1_INPUT'!$C$9),'1_INPUT'!$C$12*(1+'1_INPUT'!$C$7)^(3-'1_INPUT'!$C$8),0)</f>
        <v/>
      </c>
      <c r="F17" s="17">
        <f>IF(AND(4&gt;='1_INPUT'!$C$8,4&lt;'1_INPUT'!$C$8+'1_INPUT'!$C$9),'1_INPUT'!$C$12*(1+'1_INPUT'!$C$7)^(4-'1_INPUT'!$C$8),0)</f>
        <v/>
      </c>
      <c r="G17" s="17">
        <f>IF(AND(5&gt;='1_INPUT'!$C$8,5&lt;'1_INPUT'!$C$8+'1_INPUT'!$C$9),'1_INPUT'!$C$12*(1+'1_INPUT'!$C$7)^(5-'1_INPUT'!$C$8),0)</f>
        <v/>
      </c>
      <c r="H17" s="17">
        <f>IF(AND(6&gt;='1_INPUT'!$C$8,6&lt;'1_INPUT'!$C$8+'1_INPUT'!$C$9),'1_INPUT'!$C$12*(1+'1_INPUT'!$C$7)^(6-'1_INPUT'!$C$8),0)</f>
        <v/>
      </c>
      <c r="I17" s="17">
        <f>IF(AND(7&gt;='1_INPUT'!$C$8,7&lt;'1_INPUT'!$C$8+'1_INPUT'!$C$9),'1_INPUT'!$C$12*(1+'1_INPUT'!$C$7)^(7-'1_INPUT'!$C$8),0)</f>
        <v/>
      </c>
      <c r="J17" s="17">
        <f>IF(AND(8&gt;='1_INPUT'!$C$8,8&lt;'1_INPUT'!$C$8+'1_INPUT'!$C$9),'1_INPUT'!$C$12*(1+'1_INPUT'!$C$7)^(8-'1_INPUT'!$C$8),0)</f>
        <v/>
      </c>
      <c r="K17" s="17">
        <f>IF(AND(9&gt;='1_INPUT'!$C$8,9&lt;'1_INPUT'!$C$8+'1_INPUT'!$C$9),'1_INPUT'!$C$12*(1+'1_INPUT'!$C$7)^(9-'1_INPUT'!$C$8),0)</f>
        <v/>
      </c>
      <c r="L17" s="17">
        <f>IF(AND(10&gt;='1_INPUT'!$C$8,10&lt;'1_INPUT'!$C$8+'1_INPUT'!$C$9),'1_INPUT'!$C$12*(1+'1_INPUT'!$C$7)^(10-'1_INPUT'!$C$8),0)</f>
        <v/>
      </c>
      <c r="M17" s="17">
        <f>IF(AND(11&gt;='1_INPUT'!$C$8,11&lt;'1_INPUT'!$C$8+'1_INPUT'!$C$9),'1_INPUT'!$C$12*(1+'1_INPUT'!$C$7)^(11-'1_INPUT'!$C$8),0)</f>
        <v/>
      </c>
      <c r="N17" s="17">
        <f>IF(AND(12&gt;='1_INPUT'!$C$8,12&lt;'1_INPUT'!$C$8+'1_INPUT'!$C$9),'1_INPUT'!$C$12*(1+'1_INPUT'!$C$7)^(12-'1_INPUT'!$C$8),0)</f>
        <v/>
      </c>
      <c r="O17" s="17">
        <f>IF(AND(13&gt;='1_INPUT'!$C$8,13&lt;'1_INPUT'!$C$8+'1_INPUT'!$C$9),'1_INPUT'!$C$12*(1+'1_INPUT'!$C$7)^(13-'1_INPUT'!$C$8),0)</f>
        <v/>
      </c>
      <c r="P17" s="17">
        <f>IF(AND(14&gt;='1_INPUT'!$C$8,14&lt;'1_INPUT'!$C$8+'1_INPUT'!$C$9),'1_INPUT'!$C$12*(1+'1_INPUT'!$C$7)^(14-'1_INPUT'!$C$8),0)</f>
        <v/>
      </c>
      <c r="Q17" s="17">
        <f>IF(AND(15&gt;='1_INPUT'!$C$8,15&lt;'1_INPUT'!$C$8+'1_INPUT'!$C$9),'1_INPUT'!$C$12*(1+'1_INPUT'!$C$7)^(15-'1_INPUT'!$C$8),0)</f>
        <v/>
      </c>
      <c r="R17" s="17">
        <f>IF(AND(16&gt;='1_INPUT'!$C$8,16&lt;'1_INPUT'!$C$8+'1_INPUT'!$C$9),'1_INPUT'!$C$12*(1+'1_INPUT'!$C$7)^(16-'1_INPUT'!$C$8),0)</f>
        <v/>
      </c>
      <c r="S17" s="17">
        <f>IF(AND(17&gt;='1_INPUT'!$C$8,17&lt;'1_INPUT'!$C$8+'1_INPUT'!$C$9),'1_INPUT'!$C$12*(1+'1_INPUT'!$C$7)^(17-'1_INPUT'!$C$8),0)</f>
        <v/>
      </c>
      <c r="T17" s="17">
        <f>IF(AND(18&gt;='1_INPUT'!$C$8,18&lt;'1_INPUT'!$C$8+'1_INPUT'!$C$9),'1_INPUT'!$C$12*(1+'1_INPUT'!$C$7)^(18-'1_INPUT'!$C$8),0)</f>
        <v/>
      </c>
      <c r="U17" s="17">
        <f>IF(AND(19&gt;='1_INPUT'!$C$8,19&lt;'1_INPUT'!$C$8+'1_INPUT'!$C$9),'1_INPUT'!$C$12*(1+'1_INPUT'!$C$7)^(19-'1_INPUT'!$C$8),0)</f>
        <v/>
      </c>
      <c r="V17" s="17">
        <f>IF(AND(20&gt;='1_INPUT'!$C$8,20&lt;'1_INPUT'!$C$8+'1_INPUT'!$C$9),'1_INPUT'!$C$12*(1+'1_INPUT'!$C$7)^(20-'1_INPUT'!$C$8),0)</f>
        <v/>
      </c>
      <c r="W17" s="17">
        <f>IF(AND(21&gt;='1_INPUT'!$C$8,21&lt;'1_INPUT'!$C$8+'1_INPUT'!$C$9),'1_INPUT'!$C$12*(1+'1_INPUT'!$C$7)^(21-'1_INPUT'!$C$8),0)</f>
        <v/>
      </c>
      <c r="X17" s="17">
        <f>IF(AND(22&gt;='1_INPUT'!$C$8,22&lt;'1_INPUT'!$C$8+'1_INPUT'!$C$9),'1_INPUT'!$C$12*(1+'1_INPUT'!$C$7)^(22-'1_INPUT'!$C$8),0)</f>
        <v/>
      </c>
      <c r="Y17" s="17">
        <f>IF(AND(23&gt;='1_INPUT'!$C$8,23&lt;'1_INPUT'!$C$8+'1_INPUT'!$C$9),'1_INPUT'!$C$12*(1+'1_INPUT'!$C$7)^(23-'1_INPUT'!$C$8),0)</f>
        <v/>
      </c>
      <c r="Z17" s="17">
        <f>IF(AND(24&gt;='1_INPUT'!$C$8,24&lt;'1_INPUT'!$C$8+'1_INPUT'!$C$9),'1_INPUT'!$C$12*(1+'1_INPUT'!$C$7)^(24-'1_INPUT'!$C$8),0)</f>
        <v/>
      </c>
      <c r="AA17" s="17">
        <f>IF(AND(25&gt;='1_INPUT'!$C$8,25&lt;'1_INPUT'!$C$8+'1_INPUT'!$C$9),'1_INPUT'!$C$12*(1+'1_INPUT'!$C$7)^(25-'1_INPUT'!$C$8),0)</f>
        <v/>
      </c>
      <c r="AB17" s="17">
        <f>IF(AND(26&gt;='1_INPUT'!$C$8,26&lt;'1_INPUT'!$C$8+'1_INPUT'!$C$9),'1_INPUT'!$C$12*(1+'1_INPUT'!$C$7)^(26-'1_INPUT'!$C$8),0)</f>
        <v/>
      </c>
      <c r="AC17" s="17">
        <f>IF(AND(27&gt;='1_INPUT'!$C$8,27&lt;'1_INPUT'!$C$8+'1_INPUT'!$C$9),'1_INPUT'!$C$12*(1+'1_INPUT'!$C$7)^(27-'1_INPUT'!$C$8),0)</f>
        <v/>
      </c>
      <c r="AD17" s="17">
        <f>IF(AND(28&gt;='1_INPUT'!$C$8,28&lt;'1_INPUT'!$C$8+'1_INPUT'!$C$9),'1_INPUT'!$C$12*(1+'1_INPUT'!$C$7)^(28-'1_INPUT'!$C$8),0)</f>
        <v/>
      </c>
      <c r="AE17" s="17">
        <f>IF(AND(29&gt;='1_INPUT'!$C$8,29&lt;'1_INPUT'!$C$8+'1_INPUT'!$C$9),'1_INPUT'!$C$12*(1+'1_INPUT'!$C$7)^(29-'1_INPUT'!$C$8),0)</f>
        <v/>
      </c>
      <c r="AF17" s="17">
        <f>IF(AND(30&gt;='1_INPUT'!$C$8,30&lt;'1_INPUT'!$C$8+'1_INPUT'!$C$9),'1_INPUT'!$C$12*(1+'1_INPUT'!$C$7)^(30-'1_INPUT'!$C$8),0)</f>
        <v/>
      </c>
      <c r="AG17" s="17">
        <f>IF(AND(31&gt;='1_INPUT'!$C$8,31&lt;'1_INPUT'!$C$8+'1_INPUT'!$C$9),'1_INPUT'!$C$12*(1+'1_INPUT'!$C$7)^(31-'1_INPUT'!$C$8),0)</f>
        <v/>
      </c>
      <c r="AH17" s="17">
        <f>IF(AND(32&gt;='1_INPUT'!$C$8,32&lt;'1_INPUT'!$C$8+'1_INPUT'!$C$9),'1_INPUT'!$C$12*(1+'1_INPUT'!$C$7)^(32-'1_INPUT'!$C$8),0)</f>
        <v/>
      </c>
      <c r="AI17" s="17">
        <f>IF(AND(33&gt;='1_INPUT'!$C$8,33&lt;'1_INPUT'!$C$8+'1_INPUT'!$C$9),'1_INPUT'!$C$12*(1+'1_INPUT'!$C$7)^(33-'1_INPUT'!$C$8),0)</f>
        <v/>
      </c>
    </row>
    <row r="18">
      <c r="A18" s="3" t="inlineStr">
        <is>
          <t>Reduksi kecelakaan (indirect)</t>
        </is>
      </c>
      <c r="B18" s="17">
        <f>IF(AND(0&gt;='1_INPUT'!$C$8,0&lt;'1_INPUT'!$C$8+'1_INPUT'!$C$9),'1_INPUT'!$C$13*(1+'1_INPUT'!$C$7)^(0-'1_INPUT'!$C$8),0)</f>
        <v/>
      </c>
      <c r="C18" s="17">
        <f>IF(AND(1&gt;='1_INPUT'!$C$8,1&lt;'1_INPUT'!$C$8+'1_INPUT'!$C$9),'1_INPUT'!$C$13*(1+'1_INPUT'!$C$7)^(1-'1_INPUT'!$C$8),0)</f>
        <v/>
      </c>
      <c r="D18" s="17">
        <f>IF(AND(2&gt;='1_INPUT'!$C$8,2&lt;'1_INPUT'!$C$8+'1_INPUT'!$C$9),'1_INPUT'!$C$13*(1+'1_INPUT'!$C$7)^(2-'1_INPUT'!$C$8),0)</f>
        <v/>
      </c>
      <c r="E18" s="17">
        <f>IF(AND(3&gt;='1_INPUT'!$C$8,3&lt;'1_INPUT'!$C$8+'1_INPUT'!$C$9),'1_INPUT'!$C$13*(1+'1_INPUT'!$C$7)^(3-'1_INPUT'!$C$8),0)</f>
        <v/>
      </c>
      <c r="F18" s="17">
        <f>IF(AND(4&gt;='1_INPUT'!$C$8,4&lt;'1_INPUT'!$C$8+'1_INPUT'!$C$9),'1_INPUT'!$C$13*(1+'1_INPUT'!$C$7)^(4-'1_INPUT'!$C$8),0)</f>
        <v/>
      </c>
      <c r="G18" s="17">
        <f>IF(AND(5&gt;='1_INPUT'!$C$8,5&lt;'1_INPUT'!$C$8+'1_INPUT'!$C$9),'1_INPUT'!$C$13*(1+'1_INPUT'!$C$7)^(5-'1_INPUT'!$C$8),0)</f>
        <v/>
      </c>
      <c r="H18" s="17">
        <f>IF(AND(6&gt;='1_INPUT'!$C$8,6&lt;'1_INPUT'!$C$8+'1_INPUT'!$C$9),'1_INPUT'!$C$13*(1+'1_INPUT'!$C$7)^(6-'1_INPUT'!$C$8),0)</f>
        <v/>
      </c>
      <c r="I18" s="17">
        <f>IF(AND(7&gt;='1_INPUT'!$C$8,7&lt;'1_INPUT'!$C$8+'1_INPUT'!$C$9),'1_INPUT'!$C$13*(1+'1_INPUT'!$C$7)^(7-'1_INPUT'!$C$8),0)</f>
        <v/>
      </c>
      <c r="J18" s="17">
        <f>IF(AND(8&gt;='1_INPUT'!$C$8,8&lt;'1_INPUT'!$C$8+'1_INPUT'!$C$9),'1_INPUT'!$C$13*(1+'1_INPUT'!$C$7)^(8-'1_INPUT'!$C$8),0)</f>
        <v/>
      </c>
      <c r="K18" s="17">
        <f>IF(AND(9&gt;='1_INPUT'!$C$8,9&lt;'1_INPUT'!$C$8+'1_INPUT'!$C$9),'1_INPUT'!$C$13*(1+'1_INPUT'!$C$7)^(9-'1_INPUT'!$C$8),0)</f>
        <v/>
      </c>
      <c r="L18" s="17">
        <f>IF(AND(10&gt;='1_INPUT'!$C$8,10&lt;'1_INPUT'!$C$8+'1_INPUT'!$C$9),'1_INPUT'!$C$13*(1+'1_INPUT'!$C$7)^(10-'1_INPUT'!$C$8),0)</f>
        <v/>
      </c>
      <c r="M18" s="17">
        <f>IF(AND(11&gt;='1_INPUT'!$C$8,11&lt;'1_INPUT'!$C$8+'1_INPUT'!$C$9),'1_INPUT'!$C$13*(1+'1_INPUT'!$C$7)^(11-'1_INPUT'!$C$8),0)</f>
        <v/>
      </c>
      <c r="N18" s="17">
        <f>IF(AND(12&gt;='1_INPUT'!$C$8,12&lt;'1_INPUT'!$C$8+'1_INPUT'!$C$9),'1_INPUT'!$C$13*(1+'1_INPUT'!$C$7)^(12-'1_INPUT'!$C$8),0)</f>
        <v/>
      </c>
      <c r="O18" s="17">
        <f>IF(AND(13&gt;='1_INPUT'!$C$8,13&lt;'1_INPUT'!$C$8+'1_INPUT'!$C$9),'1_INPUT'!$C$13*(1+'1_INPUT'!$C$7)^(13-'1_INPUT'!$C$8),0)</f>
        <v/>
      </c>
      <c r="P18" s="17">
        <f>IF(AND(14&gt;='1_INPUT'!$C$8,14&lt;'1_INPUT'!$C$8+'1_INPUT'!$C$9),'1_INPUT'!$C$13*(1+'1_INPUT'!$C$7)^(14-'1_INPUT'!$C$8),0)</f>
        <v/>
      </c>
      <c r="Q18" s="17">
        <f>IF(AND(15&gt;='1_INPUT'!$C$8,15&lt;'1_INPUT'!$C$8+'1_INPUT'!$C$9),'1_INPUT'!$C$13*(1+'1_INPUT'!$C$7)^(15-'1_INPUT'!$C$8),0)</f>
        <v/>
      </c>
      <c r="R18" s="17">
        <f>IF(AND(16&gt;='1_INPUT'!$C$8,16&lt;'1_INPUT'!$C$8+'1_INPUT'!$C$9),'1_INPUT'!$C$13*(1+'1_INPUT'!$C$7)^(16-'1_INPUT'!$C$8),0)</f>
        <v/>
      </c>
      <c r="S18" s="17">
        <f>IF(AND(17&gt;='1_INPUT'!$C$8,17&lt;'1_INPUT'!$C$8+'1_INPUT'!$C$9),'1_INPUT'!$C$13*(1+'1_INPUT'!$C$7)^(17-'1_INPUT'!$C$8),0)</f>
        <v/>
      </c>
      <c r="T18" s="17">
        <f>IF(AND(18&gt;='1_INPUT'!$C$8,18&lt;'1_INPUT'!$C$8+'1_INPUT'!$C$9),'1_INPUT'!$C$13*(1+'1_INPUT'!$C$7)^(18-'1_INPUT'!$C$8),0)</f>
        <v/>
      </c>
      <c r="U18" s="17">
        <f>IF(AND(19&gt;='1_INPUT'!$C$8,19&lt;'1_INPUT'!$C$8+'1_INPUT'!$C$9),'1_INPUT'!$C$13*(1+'1_INPUT'!$C$7)^(19-'1_INPUT'!$C$8),0)</f>
        <v/>
      </c>
      <c r="V18" s="17">
        <f>IF(AND(20&gt;='1_INPUT'!$C$8,20&lt;'1_INPUT'!$C$8+'1_INPUT'!$C$9),'1_INPUT'!$C$13*(1+'1_INPUT'!$C$7)^(20-'1_INPUT'!$C$8),0)</f>
        <v/>
      </c>
      <c r="W18" s="17">
        <f>IF(AND(21&gt;='1_INPUT'!$C$8,21&lt;'1_INPUT'!$C$8+'1_INPUT'!$C$9),'1_INPUT'!$C$13*(1+'1_INPUT'!$C$7)^(21-'1_INPUT'!$C$8),0)</f>
        <v/>
      </c>
      <c r="X18" s="17">
        <f>IF(AND(22&gt;='1_INPUT'!$C$8,22&lt;'1_INPUT'!$C$8+'1_INPUT'!$C$9),'1_INPUT'!$C$13*(1+'1_INPUT'!$C$7)^(22-'1_INPUT'!$C$8),0)</f>
        <v/>
      </c>
      <c r="Y18" s="17">
        <f>IF(AND(23&gt;='1_INPUT'!$C$8,23&lt;'1_INPUT'!$C$8+'1_INPUT'!$C$9),'1_INPUT'!$C$13*(1+'1_INPUT'!$C$7)^(23-'1_INPUT'!$C$8),0)</f>
        <v/>
      </c>
      <c r="Z18" s="17">
        <f>IF(AND(24&gt;='1_INPUT'!$C$8,24&lt;'1_INPUT'!$C$8+'1_INPUT'!$C$9),'1_INPUT'!$C$13*(1+'1_INPUT'!$C$7)^(24-'1_INPUT'!$C$8),0)</f>
        <v/>
      </c>
      <c r="AA18" s="17">
        <f>IF(AND(25&gt;='1_INPUT'!$C$8,25&lt;'1_INPUT'!$C$8+'1_INPUT'!$C$9),'1_INPUT'!$C$13*(1+'1_INPUT'!$C$7)^(25-'1_INPUT'!$C$8),0)</f>
        <v/>
      </c>
      <c r="AB18" s="17">
        <f>IF(AND(26&gt;='1_INPUT'!$C$8,26&lt;'1_INPUT'!$C$8+'1_INPUT'!$C$9),'1_INPUT'!$C$13*(1+'1_INPUT'!$C$7)^(26-'1_INPUT'!$C$8),0)</f>
        <v/>
      </c>
      <c r="AC18" s="17">
        <f>IF(AND(27&gt;='1_INPUT'!$C$8,27&lt;'1_INPUT'!$C$8+'1_INPUT'!$C$9),'1_INPUT'!$C$13*(1+'1_INPUT'!$C$7)^(27-'1_INPUT'!$C$8),0)</f>
        <v/>
      </c>
      <c r="AD18" s="17">
        <f>IF(AND(28&gt;='1_INPUT'!$C$8,28&lt;'1_INPUT'!$C$8+'1_INPUT'!$C$9),'1_INPUT'!$C$13*(1+'1_INPUT'!$C$7)^(28-'1_INPUT'!$C$8),0)</f>
        <v/>
      </c>
      <c r="AE18" s="17">
        <f>IF(AND(29&gt;='1_INPUT'!$C$8,29&lt;'1_INPUT'!$C$8+'1_INPUT'!$C$9),'1_INPUT'!$C$13*(1+'1_INPUT'!$C$7)^(29-'1_INPUT'!$C$8),0)</f>
        <v/>
      </c>
      <c r="AF18" s="17">
        <f>IF(AND(30&gt;='1_INPUT'!$C$8,30&lt;'1_INPUT'!$C$8+'1_INPUT'!$C$9),'1_INPUT'!$C$13*(1+'1_INPUT'!$C$7)^(30-'1_INPUT'!$C$8),0)</f>
        <v/>
      </c>
      <c r="AG18" s="17">
        <f>IF(AND(31&gt;='1_INPUT'!$C$8,31&lt;'1_INPUT'!$C$8+'1_INPUT'!$C$9),'1_INPUT'!$C$13*(1+'1_INPUT'!$C$7)^(31-'1_INPUT'!$C$8),0)</f>
        <v/>
      </c>
      <c r="AH18" s="17">
        <f>IF(AND(32&gt;='1_INPUT'!$C$8,32&lt;'1_INPUT'!$C$8+'1_INPUT'!$C$9),'1_INPUT'!$C$13*(1+'1_INPUT'!$C$7)^(32-'1_INPUT'!$C$8),0)</f>
        <v/>
      </c>
      <c r="AI18" s="17">
        <f>IF(AND(33&gt;='1_INPUT'!$C$8,33&lt;'1_INPUT'!$C$8+'1_INPUT'!$C$9),'1_INPUT'!$C$13*(1+'1_INPUT'!$C$7)^(33-'1_INPUT'!$C$8),0)</f>
        <v/>
      </c>
    </row>
    <row r="19">
      <c r="A19" s="18" t="inlineStr">
        <is>
          <t>TOTAL MANFAAT</t>
        </is>
      </c>
      <c r="B19" s="19">
        <f>SUM(B16:B18)</f>
        <v/>
      </c>
      <c r="C19" s="19">
        <f>SUM(C16:C18)</f>
        <v/>
      </c>
      <c r="D19" s="19">
        <f>SUM(D16:D18)</f>
        <v/>
      </c>
      <c r="E19" s="19">
        <f>SUM(E16:E18)</f>
        <v/>
      </c>
      <c r="F19" s="19">
        <f>SUM(F16:F18)</f>
        <v/>
      </c>
      <c r="G19" s="19">
        <f>SUM(G16:G18)</f>
        <v/>
      </c>
      <c r="H19" s="19">
        <f>SUM(H16:H18)</f>
        <v/>
      </c>
      <c r="I19" s="19">
        <f>SUM(I16:I18)</f>
        <v/>
      </c>
      <c r="J19" s="19">
        <f>SUM(J16:J18)</f>
        <v/>
      </c>
      <c r="K19" s="19">
        <f>SUM(K16:K18)</f>
        <v/>
      </c>
      <c r="L19" s="19">
        <f>SUM(L16:L18)</f>
        <v/>
      </c>
      <c r="M19" s="19">
        <f>SUM(M16:M18)</f>
        <v/>
      </c>
      <c r="N19" s="19">
        <f>SUM(N16:N18)</f>
        <v/>
      </c>
      <c r="O19" s="19">
        <f>SUM(O16:O18)</f>
        <v/>
      </c>
      <c r="P19" s="19">
        <f>SUM(P16:P18)</f>
        <v/>
      </c>
      <c r="Q19" s="19">
        <f>SUM(Q16:Q18)</f>
        <v/>
      </c>
      <c r="R19" s="19">
        <f>SUM(R16:R18)</f>
        <v/>
      </c>
      <c r="S19" s="19">
        <f>SUM(S16:S18)</f>
        <v/>
      </c>
      <c r="T19" s="19">
        <f>SUM(T16:T18)</f>
        <v/>
      </c>
      <c r="U19" s="19">
        <f>SUM(U16:U18)</f>
        <v/>
      </c>
      <c r="V19" s="19">
        <f>SUM(V16:V18)</f>
        <v/>
      </c>
      <c r="W19" s="19">
        <f>SUM(W16:W18)</f>
        <v/>
      </c>
      <c r="X19" s="19">
        <f>SUM(X16:X18)</f>
        <v/>
      </c>
      <c r="Y19" s="19">
        <f>SUM(Y16:Y18)</f>
        <v/>
      </c>
      <c r="Z19" s="19">
        <f>SUM(Z16:Z18)</f>
        <v/>
      </c>
      <c r="AA19" s="19">
        <f>SUM(AA16:AA18)</f>
        <v/>
      </c>
      <c r="AB19" s="19">
        <f>SUM(AB16:AB18)</f>
        <v/>
      </c>
      <c r="AC19" s="19">
        <f>SUM(AC16:AC18)</f>
        <v/>
      </c>
      <c r="AD19" s="19">
        <f>SUM(AD16:AD18)</f>
        <v/>
      </c>
      <c r="AE19" s="19">
        <f>SUM(AE16:AE18)</f>
        <v/>
      </c>
      <c r="AF19" s="19">
        <f>SUM(AF16:AF18)</f>
        <v/>
      </c>
      <c r="AG19" s="19">
        <f>SUM(AG16:AG18)</f>
        <v/>
      </c>
      <c r="AH19" s="19">
        <f>SUM(AH16:AH18)</f>
        <v/>
      </c>
      <c r="AI19" s="19">
        <f>SUM(AI16:AI18)</f>
        <v/>
      </c>
    </row>
    <row r="21">
      <c r="A21" s="10" t="inlineStr">
        <is>
          <t>ALIRAN NET &amp; DISKONTO</t>
        </is>
      </c>
    </row>
    <row r="22">
      <c r="A22" s="3" t="inlineStr">
        <is>
          <t>Net cash flow (B − C)</t>
        </is>
      </c>
      <c r="B22" s="17">
        <f>B19-B13</f>
        <v/>
      </c>
      <c r="C22" s="17">
        <f>C19-C13</f>
        <v/>
      </c>
      <c r="D22" s="17">
        <f>D19-D13</f>
        <v/>
      </c>
      <c r="E22" s="17">
        <f>E19-E13</f>
        <v/>
      </c>
      <c r="F22" s="17">
        <f>F19-F13</f>
        <v/>
      </c>
      <c r="G22" s="17">
        <f>G19-G13</f>
        <v/>
      </c>
      <c r="H22" s="17">
        <f>H19-H13</f>
        <v/>
      </c>
      <c r="I22" s="17">
        <f>I19-I13</f>
        <v/>
      </c>
      <c r="J22" s="17">
        <f>J19-J13</f>
        <v/>
      </c>
      <c r="K22" s="17">
        <f>K19-K13</f>
        <v/>
      </c>
      <c r="L22" s="17">
        <f>L19-L13</f>
        <v/>
      </c>
      <c r="M22" s="17">
        <f>M19-M13</f>
        <v/>
      </c>
      <c r="N22" s="17">
        <f>N19-N13</f>
        <v/>
      </c>
      <c r="O22" s="17">
        <f>O19-O13</f>
        <v/>
      </c>
      <c r="P22" s="17">
        <f>P19-P13</f>
        <v/>
      </c>
      <c r="Q22" s="17">
        <f>Q19-Q13</f>
        <v/>
      </c>
      <c r="R22" s="17">
        <f>R19-R13</f>
        <v/>
      </c>
      <c r="S22" s="17">
        <f>S19-S13</f>
        <v/>
      </c>
      <c r="T22" s="17">
        <f>T19-T13</f>
        <v/>
      </c>
      <c r="U22" s="17">
        <f>U19-U13</f>
        <v/>
      </c>
      <c r="V22" s="17">
        <f>V19-V13</f>
        <v/>
      </c>
      <c r="W22" s="17">
        <f>W19-W13</f>
        <v/>
      </c>
      <c r="X22" s="17">
        <f>X19-X13</f>
        <v/>
      </c>
      <c r="Y22" s="17">
        <f>Y19-Y13</f>
        <v/>
      </c>
      <c r="Z22" s="17">
        <f>Z19-Z13</f>
        <v/>
      </c>
      <c r="AA22" s="17">
        <f>AA19-AA13</f>
        <v/>
      </c>
      <c r="AB22" s="17">
        <f>AB19-AB13</f>
        <v/>
      </c>
      <c r="AC22" s="17">
        <f>AC19-AC13</f>
        <v/>
      </c>
      <c r="AD22" s="17">
        <f>AD19-AD13</f>
        <v/>
      </c>
      <c r="AE22" s="17">
        <f>AE19-AE13</f>
        <v/>
      </c>
      <c r="AF22" s="17">
        <f>AF19-AF13</f>
        <v/>
      </c>
      <c r="AG22" s="17">
        <f>AG19-AG13</f>
        <v/>
      </c>
      <c r="AH22" s="17">
        <f>AH19-AH13</f>
        <v/>
      </c>
      <c r="AI22" s="17">
        <f>AI19-AI13</f>
        <v/>
      </c>
    </row>
    <row r="23">
      <c r="A23" s="3" t="inlineStr">
        <is>
          <t>Net cash flow terdiskon</t>
        </is>
      </c>
      <c r="B23" s="17">
        <f>B22*B6</f>
        <v/>
      </c>
      <c r="C23" s="17">
        <f>C22*C6</f>
        <v/>
      </c>
      <c r="D23" s="17">
        <f>D22*D6</f>
        <v/>
      </c>
      <c r="E23" s="17">
        <f>E22*E6</f>
        <v/>
      </c>
      <c r="F23" s="17">
        <f>F22*F6</f>
        <v/>
      </c>
      <c r="G23" s="17">
        <f>G22*G6</f>
        <v/>
      </c>
      <c r="H23" s="17">
        <f>H22*H6</f>
        <v/>
      </c>
      <c r="I23" s="17">
        <f>I22*I6</f>
        <v/>
      </c>
      <c r="J23" s="17">
        <f>J22*J6</f>
        <v/>
      </c>
      <c r="K23" s="17">
        <f>K22*K6</f>
        <v/>
      </c>
      <c r="L23" s="17">
        <f>L22*L6</f>
        <v/>
      </c>
      <c r="M23" s="17">
        <f>M22*M6</f>
        <v/>
      </c>
      <c r="N23" s="17">
        <f>N22*N6</f>
        <v/>
      </c>
      <c r="O23" s="17">
        <f>O22*O6</f>
        <v/>
      </c>
      <c r="P23" s="17">
        <f>P22*P6</f>
        <v/>
      </c>
      <c r="Q23" s="17">
        <f>Q22*Q6</f>
        <v/>
      </c>
      <c r="R23" s="17">
        <f>R22*R6</f>
        <v/>
      </c>
      <c r="S23" s="17">
        <f>S22*S6</f>
        <v/>
      </c>
      <c r="T23" s="17">
        <f>T22*T6</f>
        <v/>
      </c>
      <c r="U23" s="17">
        <f>U22*U6</f>
        <v/>
      </c>
      <c r="V23" s="17">
        <f>V22*V6</f>
        <v/>
      </c>
      <c r="W23" s="17">
        <f>W22*W6</f>
        <v/>
      </c>
      <c r="X23" s="17">
        <f>X22*X6</f>
        <v/>
      </c>
      <c r="Y23" s="17">
        <f>Y22*Y6</f>
        <v/>
      </c>
      <c r="Z23" s="17">
        <f>Z22*Z6</f>
        <v/>
      </c>
      <c r="AA23" s="17">
        <f>AA22*AA6</f>
        <v/>
      </c>
      <c r="AB23" s="17">
        <f>AB22*AB6</f>
        <v/>
      </c>
      <c r="AC23" s="17">
        <f>AC22*AC6</f>
        <v/>
      </c>
      <c r="AD23" s="17">
        <f>AD22*AD6</f>
        <v/>
      </c>
      <c r="AE23" s="17">
        <f>AE22*AE6</f>
        <v/>
      </c>
      <c r="AF23" s="17">
        <f>AF22*AF6</f>
        <v/>
      </c>
      <c r="AG23" s="17">
        <f>AG22*AG6</f>
        <v/>
      </c>
      <c r="AH23" s="17">
        <f>AH22*AH6</f>
        <v/>
      </c>
      <c r="AI23" s="17">
        <f>AI22*AI6</f>
        <v/>
      </c>
    </row>
    <row r="24">
      <c r="A24" s="3" t="inlineStr">
        <is>
          <t>Biaya terdiskon</t>
        </is>
      </c>
      <c r="B24" s="17">
        <f>B13*B6</f>
        <v/>
      </c>
      <c r="C24" s="17">
        <f>C13*C6</f>
        <v/>
      </c>
      <c r="D24" s="17">
        <f>D13*D6</f>
        <v/>
      </c>
      <c r="E24" s="17">
        <f>E13*E6</f>
        <v/>
      </c>
      <c r="F24" s="17">
        <f>F13*F6</f>
        <v/>
      </c>
      <c r="G24" s="17">
        <f>G13*G6</f>
        <v/>
      </c>
      <c r="H24" s="17">
        <f>H13*H6</f>
        <v/>
      </c>
      <c r="I24" s="17">
        <f>I13*I6</f>
        <v/>
      </c>
      <c r="J24" s="17">
        <f>J13*J6</f>
        <v/>
      </c>
      <c r="K24" s="17">
        <f>K13*K6</f>
        <v/>
      </c>
      <c r="L24" s="17">
        <f>L13*L6</f>
        <v/>
      </c>
      <c r="M24" s="17">
        <f>M13*M6</f>
        <v/>
      </c>
      <c r="N24" s="17">
        <f>N13*N6</f>
        <v/>
      </c>
      <c r="O24" s="17">
        <f>O13*O6</f>
        <v/>
      </c>
      <c r="P24" s="17">
        <f>P13*P6</f>
        <v/>
      </c>
      <c r="Q24" s="17">
        <f>Q13*Q6</f>
        <v/>
      </c>
      <c r="R24" s="17">
        <f>R13*R6</f>
        <v/>
      </c>
      <c r="S24" s="17">
        <f>S13*S6</f>
        <v/>
      </c>
      <c r="T24" s="17">
        <f>T13*T6</f>
        <v/>
      </c>
      <c r="U24" s="17">
        <f>U13*U6</f>
        <v/>
      </c>
      <c r="V24" s="17">
        <f>V13*V6</f>
        <v/>
      </c>
      <c r="W24" s="17">
        <f>W13*W6</f>
        <v/>
      </c>
      <c r="X24" s="17">
        <f>X13*X6</f>
        <v/>
      </c>
      <c r="Y24" s="17">
        <f>Y13*Y6</f>
        <v/>
      </c>
      <c r="Z24" s="17">
        <f>Z13*Z6</f>
        <v/>
      </c>
      <c r="AA24" s="17">
        <f>AA13*AA6</f>
        <v/>
      </c>
      <c r="AB24" s="17">
        <f>AB13*AB6</f>
        <v/>
      </c>
      <c r="AC24" s="17">
        <f>AC13*AC6</f>
        <v/>
      </c>
      <c r="AD24" s="17">
        <f>AD13*AD6</f>
        <v/>
      </c>
      <c r="AE24" s="17">
        <f>AE13*AE6</f>
        <v/>
      </c>
      <c r="AF24" s="17">
        <f>AF13*AF6</f>
        <v/>
      </c>
      <c r="AG24" s="17">
        <f>AG13*AG6</f>
        <v/>
      </c>
      <c r="AH24" s="17">
        <f>AH13*AH6</f>
        <v/>
      </c>
      <c r="AI24" s="17">
        <f>AI13*AI6</f>
        <v/>
      </c>
    </row>
    <row r="25">
      <c r="A25" s="3" t="inlineStr">
        <is>
          <t>Manfaat terdiskon</t>
        </is>
      </c>
      <c r="B25" s="17">
        <f>B19*B6</f>
        <v/>
      </c>
      <c r="C25" s="17">
        <f>C19*C6</f>
        <v/>
      </c>
      <c r="D25" s="17">
        <f>D19*D6</f>
        <v/>
      </c>
      <c r="E25" s="17">
        <f>E19*E6</f>
        <v/>
      </c>
      <c r="F25" s="17">
        <f>F19*F6</f>
        <v/>
      </c>
      <c r="G25" s="17">
        <f>G19*G6</f>
        <v/>
      </c>
      <c r="H25" s="17">
        <f>H19*H6</f>
        <v/>
      </c>
      <c r="I25" s="17">
        <f>I19*I6</f>
        <v/>
      </c>
      <c r="J25" s="17">
        <f>J19*J6</f>
        <v/>
      </c>
      <c r="K25" s="17">
        <f>K19*K6</f>
        <v/>
      </c>
      <c r="L25" s="17">
        <f>L19*L6</f>
        <v/>
      </c>
      <c r="M25" s="17">
        <f>M19*M6</f>
        <v/>
      </c>
      <c r="N25" s="17">
        <f>N19*N6</f>
        <v/>
      </c>
      <c r="O25" s="17">
        <f>O19*O6</f>
        <v/>
      </c>
      <c r="P25" s="17">
        <f>P19*P6</f>
        <v/>
      </c>
      <c r="Q25" s="17">
        <f>Q19*Q6</f>
        <v/>
      </c>
      <c r="R25" s="17">
        <f>R19*R6</f>
        <v/>
      </c>
      <c r="S25" s="17">
        <f>S19*S6</f>
        <v/>
      </c>
      <c r="T25" s="17">
        <f>T19*T6</f>
        <v/>
      </c>
      <c r="U25" s="17">
        <f>U19*U6</f>
        <v/>
      </c>
      <c r="V25" s="17">
        <f>V19*V6</f>
        <v/>
      </c>
      <c r="W25" s="17">
        <f>W19*W6</f>
        <v/>
      </c>
      <c r="X25" s="17">
        <f>X19*X6</f>
        <v/>
      </c>
      <c r="Y25" s="17">
        <f>Y19*Y6</f>
        <v/>
      </c>
      <c r="Z25" s="17">
        <f>Z19*Z6</f>
        <v/>
      </c>
      <c r="AA25" s="17">
        <f>AA19*AA6</f>
        <v/>
      </c>
      <c r="AB25" s="17">
        <f>AB19*AB6</f>
        <v/>
      </c>
      <c r="AC25" s="17">
        <f>AC19*AC6</f>
        <v/>
      </c>
      <c r="AD25" s="17">
        <f>AD19*AD6</f>
        <v/>
      </c>
      <c r="AE25" s="17">
        <f>AE19*AE6</f>
        <v/>
      </c>
      <c r="AF25" s="17">
        <f>AF19*AF6</f>
        <v/>
      </c>
      <c r="AG25" s="17">
        <f>AG19*AG6</f>
        <v/>
      </c>
      <c r="AH25" s="17">
        <f>AH19*AH6</f>
        <v/>
      </c>
      <c r="AI25" s="17">
        <f>AI19*AI6</f>
        <v/>
      </c>
    </row>
    <row r="26">
      <c r="A26" s="20" t="inlineStr">
        <is>
          <t>Kumulatif net terdiskon</t>
        </is>
      </c>
      <c r="B26" s="21">
        <f>B23</f>
        <v/>
      </c>
      <c r="C26" s="21">
        <f>B26+C23</f>
        <v/>
      </c>
      <c r="D26" s="21">
        <f>C26+D23</f>
        <v/>
      </c>
      <c r="E26" s="21">
        <f>D26+E23</f>
        <v/>
      </c>
      <c r="F26" s="21">
        <f>E26+F23</f>
        <v/>
      </c>
      <c r="G26" s="21">
        <f>F26+G23</f>
        <v/>
      </c>
      <c r="H26" s="21">
        <f>G26+H23</f>
        <v/>
      </c>
      <c r="I26" s="21">
        <f>H26+I23</f>
        <v/>
      </c>
      <c r="J26" s="21">
        <f>I26+J23</f>
        <v/>
      </c>
      <c r="K26" s="21">
        <f>J26+K23</f>
        <v/>
      </c>
      <c r="L26" s="21">
        <f>K26+L23</f>
        <v/>
      </c>
      <c r="M26" s="21">
        <f>L26+M23</f>
        <v/>
      </c>
      <c r="N26" s="21">
        <f>M26+N23</f>
        <v/>
      </c>
      <c r="O26" s="21">
        <f>N26+O23</f>
        <v/>
      </c>
      <c r="P26" s="21">
        <f>O26+P23</f>
        <v/>
      </c>
      <c r="Q26" s="21">
        <f>P26+Q23</f>
        <v/>
      </c>
      <c r="R26" s="21">
        <f>Q26+R23</f>
        <v/>
      </c>
      <c r="S26" s="21">
        <f>R26+S23</f>
        <v/>
      </c>
      <c r="T26" s="21">
        <f>S26+T23</f>
        <v/>
      </c>
      <c r="U26" s="21">
        <f>T26+U23</f>
        <v/>
      </c>
      <c r="V26" s="21">
        <f>U26+V23</f>
        <v/>
      </c>
      <c r="W26" s="21">
        <f>V26+W23</f>
        <v/>
      </c>
      <c r="X26" s="21">
        <f>W26+X23</f>
        <v/>
      </c>
      <c r="Y26" s="21">
        <f>X26+Y23</f>
        <v/>
      </c>
      <c r="Z26" s="21">
        <f>Y26+Z23</f>
        <v/>
      </c>
      <c r="AA26" s="21">
        <f>Z26+AA23</f>
        <v/>
      </c>
      <c r="AB26" s="21">
        <f>AA26+AB23</f>
        <v/>
      </c>
      <c r="AC26" s="21">
        <f>AB26+AC23</f>
        <v/>
      </c>
      <c r="AD26" s="21">
        <f>AC26+AD23</f>
        <v/>
      </c>
      <c r="AE26" s="21">
        <f>AD26+AE23</f>
        <v/>
      </c>
      <c r="AF26" s="21">
        <f>AE26+AF23</f>
        <v/>
      </c>
      <c r="AG26" s="21">
        <f>AF26+AG23</f>
        <v/>
      </c>
      <c r="AH26" s="21">
        <f>AG26+AH23</f>
        <v/>
      </c>
      <c r="AI26" s="21">
        <f>AH26+AI23</f>
        <v/>
      </c>
    </row>
    <row r="28">
      <c r="A28" s="10" t="inlineStr">
        <is>
          <t>RINGKASAN HASIL</t>
        </is>
      </c>
    </row>
    <row r="29">
      <c r="A29" s="22" t="inlineStr">
        <is>
          <t>PV Total Biaya</t>
        </is>
      </c>
      <c r="B29" s="23">
        <f>SUM(B24:AI24)</f>
        <v/>
      </c>
    </row>
    <row r="30">
      <c r="A30" s="22" t="inlineStr">
        <is>
          <t>PV Total Manfaat</t>
        </is>
      </c>
      <c r="B30" s="23">
        <f>SUM(B25:AI25)</f>
        <v/>
      </c>
    </row>
    <row r="31">
      <c r="A31" s="22" t="inlineStr">
        <is>
          <t>NPV Sosial</t>
        </is>
      </c>
      <c r="B31" s="23">
        <f>SUM(B25:AI25)-SUM(B24:AI24)</f>
        <v/>
      </c>
    </row>
    <row r="32">
      <c r="A32" s="22" t="inlineStr">
        <is>
          <t>B/C Ratio (PV)</t>
        </is>
      </c>
      <c r="B32" s="24">
        <f>SUM(B25:AI25)/SUM(B24:AI24)</f>
        <v/>
      </c>
    </row>
    <row r="33">
      <c r="A33" s="22" t="inlineStr">
        <is>
          <t>IRR Sosial</t>
        </is>
      </c>
      <c r="B33" s="25">
        <f>IRR(B22:AI22)</f>
        <v/>
      </c>
    </row>
    <row r="34">
      <c r="A34" s="22" t="inlineStr">
        <is>
          <t>Discounted Payback (thn)</t>
        </is>
      </c>
      <c r="B34" s="26">
        <f>"Lihat baris 26: kumulatif net terdiskon ≥ 0 pertama (saat NPV proyek jadi positif)"</f>
        <v/>
      </c>
      <c r="C34" s="27" t="n"/>
      <c r="D34" s="27" t="n"/>
      <c r="E34" s="27" t="n"/>
      <c r="F34" s="28" t="n"/>
    </row>
    <row r="36">
      <c r="A36" s="4" t="inlineStr">
        <is>
          <t>Catatan:</t>
        </is>
      </c>
    </row>
    <row r="37" ht="30" customHeight="1">
      <c r="A37" s="4" t="inlineStr">
        <is>
          <t>NPV &gt; 0 dan B/C &gt; 1 → proyek layak secara sosial. IRR sosial &gt; discount rate (7%) → konsisten. Payback diskonto = tahun saat baris kumulatif net terdiskon pertama kali ≥ 0.</t>
        </is>
      </c>
    </row>
  </sheetData>
  <mergeCells count="8">
    <mergeCell ref="A2:AI2"/>
    <mergeCell ref="A28:F28"/>
    <mergeCell ref="A36:F36"/>
    <mergeCell ref="B34:F34"/>
    <mergeCell ref="A37:F37"/>
    <mergeCell ref="A8:AI8"/>
    <mergeCell ref="A21:AI21"/>
    <mergeCell ref="A15:AI1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G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2" ht="26" customHeight="1">
      <c r="B2" s="1" t="inlineStr">
        <is>
          <t>SENSITIVITAS — uji ketahanan kesimpulan CBA</t>
        </is>
      </c>
    </row>
    <row r="4">
      <c r="B4" s="2" t="inlineStr">
        <is>
          <t>Kasus dasar →  NPV / B-C / IRR</t>
        </is>
      </c>
      <c r="C4" s="23">
        <f>'2_CBA_TIMELINE'!B31</f>
        <v/>
      </c>
      <c r="D4" s="24">
        <f>'2_CBA_TIMELINE'!B32</f>
        <v/>
      </c>
      <c r="E4" s="25">
        <f>'2_CBA_TIMELINE'!B33</f>
        <v/>
      </c>
    </row>
    <row r="6">
      <c r="B6" s="10" t="inlineStr">
        <is>
          <t>1) NPV &amp; B/C vs DISCOUNT RATE (r)</t>
        </is>
      </c>
    </row>
    <row r="7">
      <c r="B7" s="6" t="inlineStr">
        <is>
          <t>Discount rate r</t>
        </is>
      </c>
      <c r="C7" s="6" t="inlineStr">
        <is>
          <t>PV Biaya</t>
        </is>
      </c>
      <c r="D7" s="6" t="inlineStr">
        <is>
          <t>PV Manfaat</t>
        </is>
      </c>
      <c r="E7" s="6" t="inlineStr">
        <is>
          <t>NPV</t>
        </is>
      </c>
      <c r="F7" s="6" t="inlineStr">
        <is>
          <t>B/C</t>
        </is>
      </c>
      <c r="G7" s="6" t="inlineStr">
        <is>
          <t>Layak?</t>
        </is>
      </c>
    </row>
    <row r="8">
      <c r="B8" s="29" t="n">
        <v>0.03</v>
      </c>
      <c r="C8" s="30">
        <f>SUMPRODUCT('2_CBA_TIMELINE'!B13:AI13,1/(1+$B8)^'2_CBA_TIMELINE'!B4:AI4)</f>
        <v/>
      </c>
      <c r="D8" s="30">
        <f>SUMPRODUCT('2_CBA_TIMELINE'!B19:AI19,1/(1+$B8)^'2_CBA_TIMELINE'!B4:AI4)</f>
        <v/>
      </c>
      <c r="E8" s="30">
        <f>D8-C8</f>
        <v/>
      </c>
      <c r="F8" s="31">
        <f>D8/C8</f>
        <v/>
      </c>
      <c r="G8" s="32">
        <f>IF($E8&gt;0,"YA","TIDAK")</f>
        <v/>
      </c>
    </row>
    <row r="9">
      <c r="B9" s="29" t="n">
        <v>0.05</v>
      </c>
      <c r="C9" s="30">
        <f>SUMPRODUCT('2_CBA_TIMELINE'!B13:AI13,1/(1+$B9)^'2_CBA_TIMELINE'!B4:AI4)</f>
        <v/>
      </c>
      <c r="D9" s="30">
        <f>SUMPRODUCT('2_CBA_TIMELINE'!B19:AI19,1/(1+$B9)^'2_CBA_TIMELINE'!B4:AI4)</f>
        <v/>
      </c>
      <c r="E9" s="30">
        <f>D9-C9</f>
        <v/>
      </c>
      <c r="F9" s="31">
        <f>D9/C9</f>
        <v/>
      </c>
      <c r="G9" s="32">
        <f>IF($E9&gt;0,"YA","TIDAK")</f>
        <v/>
      </c>
    </row>
    <row r="10">
      <c r="B10" s="29" t="n">
        <v>0.07000000000000001</v>
      </c>
      <c r="C10" s="30">
        <f>SUMPRODUCT('2_CBA_TIMELINE'!B13:AI13,1/(1+$B10)^'2_CBA_TIMELINE'!B4:AI4)</f>
        <v/>
      </c>
      <c r="D10" s="30">
        <f>SUMPRODUCT('2_CBA_TIMELINE'!B19:AI19,1/(1+$B10)^'2_CBA_TIMELINE'!B4:AI4)</f>
        <v/>
      </c>
      <c r="E10" s="30">
        <f>D10-C10</f>
        <v/>
      </c>
      <c r="F10" s="31">
        <f>D10/C10</f>
        <v/>
      </c>
      <c r="G10" s="32">
        <f>IF($E10&gt;0,"YA","TIDAK")</f>
        <v/>
      </c>
    </row>
    <row r="11">
      <c r="B11" s="29" t="n">
        <v>0.09</v>
      </c>
      <c r="C11" s="30">
        <f>SUMPRODUCT('2_CBA_TIMELINE'!B13:AI13,1/(1+$B11)^'2_CBA_TIMELINE'!B4:AI4)</f>
        <v/>
      </c>
      <c r="D11" s="30">
        <f>SUMPRODUCT('2_CBA_TIMELINE'!B19:AI19,1/(1+$B11)^'2_CBA_TIMELINE'!B4:AI4)</f>
        <v/>
      </c>
      <c r="E11" s="30">
        <f>D11-C11</f>
        <v/>
      </c>
      <c r="F11" s="31">
        <f>D11/C11</f>
        <v/>
      </c>
      <c r="G11" s="32">
        <f>IF($E11&gt;0,"YA","TIDAK")</f>
        <v/>
      </c>
    </row>
    <row r="12">
      <c r="B12" s="29" t="n">
        <v>0.11</v>
      </c>
      <c r="C12" s="30">
        <f>SUMPRODUCT('2_CBA_TIMELINE'!B13:AI13,1/(1+$B12)^'2_CBA_TIMELINE'!B4:AI4)</f>
        <v/>
      </c>
      <c r="D12" s="30">
        <f>SUMPRODUCT('2_CBA_TIMELINE'!B19:AI19,1/(1+$B12)^'2_CBA_TIMELINE'!B4:AI4)</f>
        <v/>
      </c>
      <c r="E12" s="30">
        <f>D12-C12</f>
        <v/>
      </c>
      <c r="F12" s="31">
        <f>D12/C12</f>
        <v/>
      </c>
      <c r="G12" s="32">
        <f>IF($E12&gt;0,"YA","TIDAK")</f>
        <v/>
      </c>
    </row>
    <row r="13">
      <c r="B13" s="29" t="n">
        <v>0.13</v>
      </c>
      <c r="C13" s="30">
        <f>SUMPRODUCT('2_CBA_TIMELINE'!B13:AI13,1/(1+$B13)^'2_CBA_TIMELINE'!B4:AI4)</f>
        <v/>
      </c>
      <c r="D13" s="30">
        <f>SUMPRODUCT('2_CBA_TIMELINE'!B19:AI19,1/(1+$B13)^'2_CBA_TIMELINE'!B4:AI4)</f>
        <v/>
      </c>
      <c r="E13" s="30">
        <f>D13-C13</f>
        <v/>
      </c>
      <c r="F13" s="31">
        <f>D13/C13</f>
        <v/>
      </c>
      <c r="G13" s="32">
        <f>IF($E13&gt;0,"YA","TIDAK")</f>
        <v/>
      </c>
    </row>
    <row r="15">
      <c r="B15" s="4" t="inlineStr">
        <is>
          <t>Baca: NPV turun saat r naik. Cari r* di mana NPV=0 (= IRR sosial).</t>
        </is>
      </c>
    </row>
    <row r="17">
      <c r="B17" s="10" t="inlineStr">
        <is>
          <t>2) TORNADO SATU-ARAH (geser satu variabel, lain tetap) — NPV</t>
        </is>
      </c>
    </row>
    <row r="18">
      <c r="B18" s="6" t="inlineStr">
        <is>
          <t>Skenario</t>
        </is>
      </c>
      <c r="C18" s="6" t="inlineStr">
        <is>
          <t>Faktor</t>
        </is>
      </c>
      <c r="D18" s="6" t="inlineStr">
        <is>
          <t>PV Manfaat</t>
        </is>
      </c>
      <c r="E18" s="6" t="inlineStr">
        <is>
          <t>PV Biaya</t>
        </is>
      </c>
      <c r="F18" s="6" t="inlineStr">
        <is>
          <t>NPV</t>
        </is>
      </c>
      <c r="G18" s="6" t="inlineStr">
        <is>
          <t>B/C</t>
        </is>
      </c>
    </row>
    <row r="19">
      <c r="B19" s="33" t="inlineStr">
        <is>
          <t>Manfaat −20%</t>
        </is>
      </c>
      <c r="C19" s="34" t="inlineStr">
        <is>
          <t>-19%</t>
        </is>
      </c>
      <c r="D19" s="30">
        <f>'2_CBA_TIMELINE'!B30*0.8</f>
        <v/>
      </c>
      <c r="E19" s="30">
        <f>'2_CBA_TIMELINE'!B29*1.0</f>
        <v/>
      </c>
      <c r="F19" s="30">
        <f>D19-E19</f>
        <v/>
      </c>
      <c r="G19" s="31">
        <f>D19/E19</f>
        <v/>
      </c>
    </row>
    <row r="20">
      <c r="B20" s="33" t="inlineStr">
        <is>
          <t>Manfaat +20%</t>
        </is>
      </c>
      <c r="C20" s="34" t="inlineStr">
        <is>
          <t>+19%</t>
        </is>
      </c>
      <c r="D20" s="30">
        <f>'2_CBA_TIMELINE'!B30*1.2</f>
        <v/>
      </c>
      <c r="E20" s="30">
        <f>'2_CBA_TIMELINE'!B29*1.0</f>
        <v/>
      </c>
      <c r="F20" s="30">
        <f>D20-E20</f>
        <v/>
      </c>
      <c r="G20" s="31">
        <f>D20/E20</f>
        <v/>
      </c>
    </row>
    <row r="21">
      <c r="B21" s="33" t="inlineStr">
        <is>
          <t>Biaya konstruksi +20%</t>
        </is>
      </c>
      <c r="C21" s="34" t="inlineStr">
        <is>
          <t>+0%</t>
        </is>
      </c>
      <c r="D21" s="30">
        <f>'2_CBA_TIMELINE'!B30*1.0</f>
        <v/>
      </c>
      <c r="E21" s="30">
        <f>'2_CBA_TIMELINE'!B29*(1+1*0.2*SUMPRODUCT('2_CBA_TIMELINE'!B10:AI10,1/(1+'1_INPUT'!$C$5)^'2_CBA_TIMELINE'!B4:AI4)/'2_CBA_TIMELINE'!B29)</f>
        <v/>
      </c>
      <c r="F21" s="30">
        <f>D21-E21</f>
        <v/>
      </c>
      <c r="G21" s="31">
        <f>D21/E21</f>
        <v/>
      </c>
    </row>
    <row r="22">
      <c r="B22" s="33" t="inlineStr">
        <is>
          <t>Biaya konstruksi −20%</t>
        </is>
      </c>
      <c r="C22" s="34" t="inlineStr">
        <is>
          <t>+0%</t>
        </is>
      </c>
      <c r="D22" s="30">
        <f>'2_CBA_TIMELINE'!B30*1.0</f>
        <v/>
      </c>
      <c r="E22" s="30">
        <f>'2_CBA_TIMELINE'!B29*(1+-1*0.2*SUMPRODUCT('2_CBA_TIMELINE'!B10:AI10,1/(1+'1_INPUT'!$C$5)^'2_CBA_TIMELINE'!B4:AI4)/'2_CBA_TIMELINE'!B29)</f>
        <v/>
      </c>
      <c r="F22" s="30">
        <f>D22-E22</f>
        <v/>
      </c>
      <c r="G22" s="31">
        <f>D22/E22</f>
        <v/>
      </c>
    </row>
    <row r="23">
      <c r="B23" s="33" t="inlineStr">
        <is>
          <t>Kasus dasar</t>
        </is>
      </c>
      <c r="C23" s="34" t="inlineStr">
        <is>
          <t>0%</t>
        </is>
      </c>
      <c r="D23" s="30">
        <f>'2_CBA_TIMELINE'!B30*1.0</f>
        <v/>
      </c>
      <c r="E23" s="30">
        <f>'2_CBA_TIMELINE'!B29*1.0</f>
        <v/>
      </c>
      <c r="F23" s="30">
        <f>D23-E23</f>
        <v/>
      </c>
      <c r="G23" s="31">
        <f>D23/E23</f>
        <v/>
      </c>
    </row>
    <row r="25">
      <c r="B25" s="4" t="inlineStr">
        <is>
          <t>Baca: skenario dengan NPV tetap &gt; 0 (B/C &gt; 1) → kesimpulan layak ROBUST.</t>
        </is>
      </c>
    </row>
    <row r="27">
      <c r="B27" s="10" t="inlineStr">
        <is>
          <t>3) KEPUTUSAN</t>
        </is>
      </c>
    </row>
    <row r="28">
      <c r="B28" s="35" t="inlineStr">
        <is>
          <t>Kriteria kelayakan (semuanya terpenuhi → GO):</t>
        </is>
      </c>
    </row>
    <row r="29">
      <c r="B29" s="33" t="inlineStr">
        <is>
          <t>NPV sosial &gt; 0</t>
        </is>
      </c>
      <c r="C29" s="32">
        <f>IF('2_CBA_TIMELINE'!B31&gt;0,"✓ TERPENUHI","✗ GAGAL")</f>
        <v/>
      </c>
      <c r="D29" s="27" t="n"/>
      <c r="E29" s="27" t="n"/>
      <c r="F29" s="27" t="n"/>
      <c r="G29" s="28" t="n"/>
    </row>
    <row r="30">
      <c r="B30" s="33" t="inlineStr">
        <is>
          <t>B/C ratio &gt; 1</t>
        </is>
      </c>
      <c r="C30" s="32">
        <f>IF('2_CBA_TIMELINE'!B32&gt;1,"✓ TERPENUHI","✗ GAGAL")</f>
        <v/>
      </c>
      <c r="D30" s="27" t="n"/>
      <c r="E30" s="27" t="n"/>
      <c r="F30" s="27" t="n"/>
      <c r="G30" s="28" t="n"/>
    </row>
    <row r="31">
      <c r="B31" s="33" t="inlineStr">
        <is>
          <t>IRR sosial &gt; r (7%)</t>
        </is>
      </c>
      <c r="C31" s="32">
        <f>IF('2_CBA_TIMELINE'!B33&gt;'1_INPUT'!$C$5,"✓ TERPENUHI","✗ GAGAL")</f>
        <v/>
      </c>
      <c r="D31" s="27" t="n"/>
      <c r="E31" s="27" t="n"/>
      <c r="F31" s="27" t="n"/>
      <c r="G31" s="28" t="n"/>
    </row>
  </sheetData>
  <mergeCells count="10">
    <mergeCell ref="B2:G2"/>
    <mergeCell ref="C29:G29"/>
    <mergeCell ref="C30:G30"/>
    <mergeCell ref="B28:G28"/>
    <mergeCell ref="B17:G17"/>
    <mergeCell ref="B27:G27"/>
    <mergeCell ref="C31:G31"/>
    <mergeCell ref="B15:G15"/>
    <mergeCell ref="B25:G25"/>
    <mergeCell ref="B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2026-07-18T17:26:37Z</dcterms:created>
  <dcterms:modified xmlns:dcterms="http://purl.org/dc/terms/" xmlns:xsi="http://www.w3.org/2001/XMLSchema-instance" xsi:type="dcterms:W3CDTF">2026-07-18T17:26:37Z</dcterms:modified>
</cp:coreProperties>
</file>