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e00bf8c8dc2a59fb/Claude/Personal/atlas/05-Tech/stdsquare-hugo/static/excel/"/>
    </mc:Choice>
  </mc:AlternateContent>
  <xr:revisionPtr revIDLastSave="0" documentId="11_B603498276A2077BAC75E6E5912172334811BE21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PETUNJUK" sheetId="1" r:id="rId1"/>
    <sheet name="ASUMSI" sheetId="2" r:id="rId2"/>
    <sheet name="SALES_FORECAST" sheetId="3" r:id="rId3"/>
    <sheet name="COLLECTIONS" sheetId="4" r:id="rId4"/>
    <sheet name="DISBURSEMENTS" sheetId="5" r:id="rId5"/>
    <sheet name="CASH_BUDGET" sheetId="6" r:id="rId6"/>
    <sheet name="RINGKASAN" sheetId="7" r:id="rId7"/>
    <sheet name="CEK_KONSISTENSI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6" l="1"/>
  <c r="H14" i="7" s="1"/>
  <c r="G11" i="6"/>
  <c r="G14" i="7" s="1"/>
  <c r="F11" i="6"/>
  <c r="F14" i="7" s="1"/>
  <c r="E11" i="6"/>
  <c r="E14" i="7" s="1"/>
  <c r="D11" i="6"/>
  <c r="D14" i="7" s="1"/>
  <c r="C11" i="6"/>
  <c r="C14" i="7" s="1"/>
  <c r="C9" i="6"/>
  <c r="C8" i="7" s="1"/>
  <c r="C6" i="6"/>
  <c r="I6" i="6" s="1"/>
  <c r="C13" i="5"/>
  <c r="C7" i="7" s="1"/>
  <c r="I12" i="5"/>
  <c r="I11" i="5"/>
  <c r="I10" i="5"/>
  <c r="I9" i="5"/>
  <c r="I8" i="5"/>
  <c r="C7" i="5"/>
  <c r="H6" i="5"/>
  <c r="G6" i="5"/>
  <c r="H7" i="5" s="1"/>
  <c r="H13" i="5" s="1"/>
  <c r="F6" i="5"/>
  <c r="G7" i="5" s="1"/>
  <c r="G13" i="5" s="1"/>
  <c r="E6" i="5"/>
  <c r="F7" i="5" s="1"/>
  <c r="D6" i="5"/>
  <c r="E7" i="5" s="1"/>
  <c r="E13" i="5" s="1"/>
  <c r="E7" i="7" s="1"/>
  <c r="C6" i="5"/>
  <c r="D7" i="5" s="1"/>
  <c r="D13" i="5" s="1"/>
  <c r="D8" i="6" s="1"/>
  <c r="C7" i="4"/>
  <c r="I7" i="4" s="1"/>
  <c r="H8" i="3"/>
  <c r="G8" i="3"/>
  <c r="F8" i="3"/>
  <c r="G8" i="4" s="1"/>
  <c r="E8" i="3"/>
  <c r="F8" i="4" s="1"/>
  <c r="D8" i="3"/>
  <c r="E8" i="4" s="1"/>
  <c r="C8" i="3"/>
  <c r="D8" i="4" s="1"/>
  <c r="H7" i="3"/>
  <c r="H6" i="4" s="1"/>
  <c r="G7" i="3"/>
  <c r="G6" i="4" s="1"/>
  <c r="F7" i="3"/>
  <c r="F6" i="4" s="1"/>
  <c r="E7" i="3"/>
  <c r="E6" i="4" s="1"/>
  <c r="D7" i="3"/>
  <c r="D6" i="4" s="1"/>
  <c r="C7" i="3"/>
  <c r="C6" i="4" s="1"/>
  <c r="C10" i="4" s="1"/>
  <c r="I6" i="3"/>
  <c r="H11" i="2"/>
  <c r="G11" i="2"/>
  <c r="F11" i="2"/>
  <c r="E11" i="2"/>
  <c r="D11" i="2"/>
  <c r="C11" i="2"/>
  <c r="D10" i="4" l="1"/>
  <c r="G9" i="4"/>
  <c r="G10" i="4" s="1"/>
  <c r="H9" i="4"/>
  <c r="I11" i="6"/>
  <c r="E9" i="4"/>
  <c r="E10" i="4" s="1"/>
  <c r="I8" i="3"/>
  <c r="F9" i="4"/>
  <c r="F10" i="4" s="1"/>
  <c r="G8" i="6"/>
  <c r="G7" i="7"/>
  <c r="D6" i="7"/>
  <c r="D17" i="7"/>
  <c r="D7" i="6"/>
  <c r="I7" i="5"/>
  <c r="F13" i="5"/>
  <c r="I13" i="5" s="1"/>
  <c r="C6" i="7"/>
  <c r="C17" i="7"/>
  <c r="C7" i="6"/>
  <c r="H8" i="6"/>
  <c r="H7" i="7"/>
  <c r="I6" i="4"/>
  <c r="D7" i="7"/>
  <c r="I7" i="3"/>
  <c r="I14" i="7"/>
  <c r="I6" i="5"/>
  <c r="C8" i="6"/>
  <c r="C10" i="6" s="1"/>
  <c r="H8" i="4"/>
  <c r="H10" i="4" s="1"/>
  <c r="E8" i="6"/>
  <c r="G6" i="7" l="1"/>
  <c r="G17" i="7"/>
  <c r="G7" i="6"/>
  <c r="I8" i="4"/>
  <c r="I10" i="4"/>
  <c r="E7" i="6"/>
  <c r="E6" i="7"/>
  <c r="E17" i="7"/>
  <c r="F6" i="7"/>
  <c r="F17" i="7"/>
  <c r="F7" i="6"/>
  <c r="I9" i="4"/>
  <c r="C12" i="6"/>
  <c r="H6" i="7"/>
  <c r="H17" i="7"/>
  <c r="H7" i="6"/>
  <c r="I7" i="6" s="1"/>
  <c r="F7" i="7"/>
  <c r="I7" i="7" s="1"/>
  <c r="F8" i="6"/>
  <c r="I8" i="6" s="1"/>
  <c r="I6" i="7" l="1"/>
  <c r="I17" i="7" s="1"/>
  <c r="C16" i="6"/>
  <c r="C15" i="6"/>
  <c r="C10" i="7" l="1"/>
  <c r="C9" i="7"/>
  <c r="C17" i="6"/>
  <c r="C18" i="6"/>
  <c r="C12" i="7" l="1"/>
  <c r="C19" i="6"/>
  <c r="C8" i="8"/>
  <c r="C13" i="7"/>
  <c r="C18" i="7" s="1"/>
  <c r="D6" i="6"/>
  <c r="C11" i="7"/>
  <c r="D14" i="6"/>
  <c r="D9" i="6" l="1"/>
  <c r="D10" i="6"/>
  <c r="F8" i="8"/>
  <c r="E8" i="8"/>
  <c r="D12" i="6" l="1"/>
  <c r="D8" i="7"/>
  <c r="D16" i="6" l="1"/>
  <c r="D15" i="6"/>
  <c r="D9" i="7" l="1"/>
  <c r="D17" i="6"/>
  <c r="D18" i="6"/>
  <c r="D10" i="7"/>
  <c r="E6" i="6" l="1"/>
  <c r="D13" i="7"/>
  <c r="D18" i="7" s="1"/>
  <c r="D12" i="7"/>
  <c r="D19" i="6"/>
  <c r="E14" i="6"/>
  <c r="D11" i="7"/>
  <c r="E9" i="6" l="1"/>
  <c r="E8" i="7" l="1"/>
  <c r="E10" i="6"/>
  <c r="E12" i="6" l="1"/>
  <c r="E16" i="6" l="1"/>
  <c r="E15" i="6"/>
  <c r="E9" i="7" l="1"/>
  <c r="E17" i="6"/>
  <c r="E18" i="6"/>
  <c r="E10" i="7"/>
  <c r="F6" i="6" l="1"/>
  <c r="E13" i="7"/>
  <c r="E18" i="7" s="1"/>
  <c r="E12" i="7"/>
  <c r="E19" i="6"/>
  <c r="F14" i="6"/>
  <c r="E11" i="7"/>
  <c r="F9" i="6" l="1"/>
  <c r="F10" i="6"/>
  <c r="F12" i="6" l="1"/>
  <c r="F8" i="7"/>
  <c r="F15" i="6" l="1"/>
  <c r="F16" i="6"/>
  <c r="F10" i="7" l="1"/>
  <c r="F9" i="7"/>
  <c r="F17" i="6"/>
  <c r="F18" i="6"/>
  <c r="F11" i="7" l="1"/>
  <c r="G14" i="6"/>
  <c r="F13" i="7"/>
  <c r="F18" i="7" s="1"/>
  <c r="F12" i="7"/>
  <c r="F19" i="6"/>
  <c r="G6" i="6"/>
  <c r="G9" i="6" l="1"/>
  <c r="G8" i="7" l="1"/>
  <c r="G10" i="6"/>
  <c r="G12" i="6" l="1"/>
  <c r="G16" i="6" l="1"/>
  <c r="G15" i="6"/>
  <c r="G9" i="7" l="1"/>
  <c r="G17" i="6"/>
  <c r="G18" i="6"/>
  <c r="G10" i="7"/>
  <c r="G13" i="7" l="1"/>
  <c r="G18" i="7" s="1"/>
  <c r="G12" i="7"/>
  <c r="G19" i="6"/>
  <c r="H6" i="6"/>
  <c r="G11" i="7"/>
  <c r="H14" i="6"/>
  <c r="H9" i="6" l="1"/>
  <c r="I14" i="6"/>
  <c r="H8" i="7" l="1"/>
  <c r="I8" i="7" s="1"/>
  <c r="I9" i="6"/>
  <c r="H10" i="6"/>
  <c r="I10" i="6" l="1"/>
  <c r="H12" i="6"/>
  <c r="H16" i="6" l="1"/>
  <c r="H15" i="6"/>
  <c r="I12" i="6"/>
  <c r="H9" i="7" l="1"/>
  <c r="I9" i="7" s="1"/>
  <c r="I15" i="6"/>
  <c r="H17" i="6"/>
  <c r="H18" i="6"/>
  <c r="H10" i="7"/>
  <c r="I10" i="7" s="1"/>
  <c r="I16" i="6"/>
  <c r="D7" i="8" s="1"/>
  <c r="I18" i="6" l="1"/>
  <c r="H13" i="7"/>
  <c r="I12" i="7"/>
  <c r="H12" i="7"/>
  <c r="H19" i="6"/>
  <c r="C6" i="8"/>
  <c r="C7" i="8"/>
  <c r="E7" i="8" s="1"/>
  <c r="F7" i="8" s="1"/>
  <c r="D6" i="8"/>
  <c r="I17" i="6"/>
  <c r="H11" i="7"/>
  <c r="I11" i="7" s="1"/>
  <c r="C9" i="8"/>
  <c r="F9" i="8" l="1"/>
  <c r="E9" i="8"/>
  <c r="E6" i="8"/>
  <c r="F6" i="8" s="1"/>
  <c r="I13" i="7"/>
  <c r="H18" i="7"/>
  <c r="I18" i="7"/>
</calcChain>
</file>

<file path=xl/sharedStrings.xml><?xml version="1.0" encoding="utf-8"?>
<sst xmlns="http://schemas.openxmlformats.org/spreadsheetml/2006/main" count="171" uniqueCount="132">
  <si>
    <t>ANGGARAN KAS (CASH BUDGET) — 6-BULAN AUTO-HITUNG</t>
  </si>
  <si>
    <t>PT Garuda Karya Mandiri · UMKM Manufaktur Mebel · Jepara · Jan-Jun 2026 (Rp juta)</t>
  </si>
  <si>
    <t>ALUR ANGGARAN KAS:</t>
  </si>
  <si>
    <t>1. ASUMSI</t>
  </si>
  <si>
    <t>Isi sel BIRU: policy penagihan (% tunai, % lag 1, % lag 2), policy pembayaran (lag 1), COGS%, bunga KMK, saldo kas minimum, kas/piutang/utang awal.</t>
  </si>
  <si>
    <t>2. SALES_FORECAST</t>
  </si>
  <si>
    <t>Isi sel biru: proyeksi penjualan total per bulan (Rp juta). Pemecahan tunai/kredit otomatis.</t>
  </si>
  <si>
    <t>3. COLLECTIONS</t>
  </si>
  <si>
    <t>Otomatis. Kas masuk = penjualan tunai bulan ini + piutang lag-1 + piutang lag-2 + pelunasan piutang awal (Jan).</t>
  </si>
  <si>
    <t>4. DISBURSEMENTS</t>
  </si>
  <si>
    <t>Otomatis. Pembelian bahan (COGS% × sales, dibayar lag 1 bln) + gaji + beban operasi + pemasaran + PPh + capex.</t>
  </si>
  <si>
    <t>5. CASH_BUDGET</t>
  </si>
  <si>
    <t>Otomatis. Bunga KMK (1,2% × saldo awal bln) dipotong dulu, lalu hitung gap. Bila gap &lt; 0 → pinjam KMK (CEILING ke Rp 5 jt). Bila surplus → lunasi KMK (FLOOR).</t>
  </si>
  <si>
    <t>6. RINGKASAN</t>
  </si>
  <si>
    <t>Otomatis. Grafik saldo kas vs minimum, net cash flow, total pinjaman berjalan, rasio collection.</t>
  </si>
  <si>
    <t>7. CEK_KONSISTENSI</t>
  </si>
  <si>
    <t>Empat tes otomatis: roll-forward kas, KMK roll-forward, saldo akhir ≥ minimum, KMK tidak negatif.</t>
  </si>
  <si>
    <t>LEGENDA WARNA:</t>
  </si>
  <si>
    <t>Input manual</t>
  </si>
  <si>
    <t>Sel biru = Anda ubah. Contoh: proyeksi penjualan, % tunai, saldo kas minimum, bunga KMK.</t>
  </si>
  <si>
    <t>Formula hidup</t>
  </si>
  <si>
    <t>Sel hitam = dihitung otomatis. Jangan diketik ulang.</t>
  </si>
  <si>
    <t>Header / sub-judul</t>
  </si>
  <si>
    <t>Sel hijau band = sub-judul; sel kuning = total penting; sel oranye = pembiayaan (KMK).</t>
  </si>
  <si>
    <t>Cara pakai: ubah satu input di ASUMSI (mis. % tunai 20%→30%) atau SALES_FORECAST (mis. Mar turun 20%), buka CASH_BUDGET &amp; RINGKASAN untuk lihat dampaknya ke pinjaman &amp; saldo kas.</t>
  </si>
  <si>
    <t>ASUMSI &amp; KEBIJAKAN ANGGARAN KAS</t>
  </si>
  <si>
    <t>Sel BIRU = input kebijakan. Ubah di sini, seluruh model menghitung ulang. (Rp juta kecuali %)</t>
  </si>
  <si>
    <t>Pos</t>
  </si>
  <si>
    <t>Jan</t>
  </si>
  <si>
    <t>Feb</t>
  </si>
  <si>
    <t>Mar</t>
  </si>
  <si>
    <t>Apr</t>
  </si>
  <si>
    <t>Mei</t>
  </si>
  <si>
    <t>Jun</t>
  </si>
  <si>
    <t>Total 6-bulan</t>
  </si>
  <si>
    <t>A. KEBIJAKAN PENAGIHAN (COLLECTIONS)</t>
  </si>
  <si>
    <t xml:space="preserve">  % penjualan TUNAI (bulan berjalan)</t>
  </si>
  <si>
    <t>sisanya = kredit</t>
  </si>
  <si>
    <t xml:space="preserve">  % PIUTANG tertagih bulan berikutnya (lag 1)</t>
  </si>
  <si>
    <t>dari penjualan kredit</t>
  </si>
  <si>
    <t xml:space="preserve">  % PIUTANG tertagih 2 bulan kemudian (lag 2)</t>
  </si>
  <si>
    <t>sisanya uncollectible</t>
  </si>
  <si>
    <t xml:space="preserve">  Cek: total tertagih (tunai + lag1 + lag2)</t>
  </si>
  <si>
    <t>harus ≤ 100%</t>
  </si>
  <si>
    <t>B. KEBIJAKAN PEMBAYARAN (DISBURSEMENTS)</t>
  </si>
  <si>
    <t xml:space="preserve">  COGS sebagai % dari penjualan (cost rate)</t>
  </si>
  <si>
    <t>bahan+TKL standar</t>
  </si>
  <si>
    <t xml:space="preserve">  % pembelian dibayar bulan berikutnya (lag 1)</t>
  </si>
  <si>
    <t>tempo 30 hari</t>
  </si>
  <si>
    <t>C. KEBIJAKAN PEMBIAYAAN (FINANCING)</t>
  </si>
  <si>
    <t xml:space="preserve">  Saldo kas minimum (required buffer)</t>
  </si>
  <si>
    <t>buffer likuiditas</t>
  </si>
  <si>
    <t xml:space="preserve">  Bunga KMK per bulan (atas saldo awal bln)</t>
  </si>
  <si>
    <t>1,2% /bln ≈ 14,4% p.a.</t>
  </si>
  <si>
    <t xml:space="preserve">  Pembulatan pinjaman (kelipatan)</t>
  </si>
  <si>
    <t>Rp 5 juta</t>
  </si>
  <si>
    <t>D. SALDO AWAL (dari neraca 31 Des 2025)</t>
  </si>
  <si>
    <t xml:space="preserve">  Kas awal (muncul di Jan)</t>
  </si>
  <si>
    <t>hanya Jan</t>
  </si>
  <si>
    <t xml:space="preserve">  Piutang dagang awal (pelunasan di Jan)</t>
  </si>
  <si>
    <t xml:space="preserve">  Utang dagang awal (pelunasan di Jan)</t>
  </si>
  <si>
    <t>PROYEKSI PENJUALAN &amp; PEMECAHAN TUNAI/KREDIT</t>
  </si>
  <si>
    <t>Total penjualan (Rp juta) = INPUT. Pemecahan tunai/kredit otomatis dari ASUMSI.</t>
  </si>
  <si>
    <t>TOTAL PENJUALAN (input)</t>
  </si>
  <si>
    <t xml:space="preserve">  Penjualan TUNAI (bulan ini)</t>
  </si>
  <si>
    <t xml:space="preserve">  Penjualan KREDIT (jadi piutang)</t>
  </si>
  <si>
    <t>Pola: penjualan naik Jan→Apr (musim Lebaran &amp; pesanan ekspor), turun Mei–Jun.</t>
  </si>
  <si>
    <t>PENERIMAAN KAS DARI PENJUALAN (COLLECTIONS)</t>
  </si>
  <si>
    <t>Otomatis. Tunai bulan ini + pelunasan piutang awal (Jan) + piutang lag-1 + piutang lag-2. (Rp juta)</t>
  </si>
  <si>
    <t>Sumber kas masuk</t>
  </si>
  <si>
    <t>Penjualan tunai bulan ini</t>
  </si>
  <si>
    <t>Pelunasan piutang awal (saldo 2025)</t>
  </si>
  <si>
    <t>Tagih piutang lag-1 (bln lalu × lag1%)</t>
  </si>
  <si>
    <t>Tagih piutang lag-2 (2 bln lalu × lag2%)</t>
  </si>
  <si>
    <t>TOTAL PENERIMAAN KAS</t>
  </si>
  <si>
    <t>Logika: Jan menagih piutang awal 2025 (Rp 45 jt) + penjualan tunai Jan. Feb–Jun mengikuti pola lag1 (60%) &amp; lag2 (35%) dari penjualan kredit. Sisa 5% = uncollectible.</t>
  </si>
  <si>
    <t>PENGELUARAN KAS (CASH DISBURSEMENTS)</t>
  </si>
  <si>
    <t>Pembelian bahan (COGS% × sales, dibayar lag 1) + gaji + beban operasi + pemasaran + PPh + capex. (Rp juta)</t>
  </si>
  <si>
    <t>Pengeluaran</t>
  </si>
  <si>
    <t>Pembelian bahan (COGS% × sales)</t>
  </si>
  <si>
    <t>Bayar pemasok (lag 1: bln lalu)</t>
  </si>
  <si>
    <t>Gaji &amp; upah (input)</t>
  </si>
  <si>
    <t>Beban operasi (listrik, sewa, transport)</t>
  </si>
  <si>
    <t>Beban pemasaran &amp; ekspor</t>
  </si>
  <si>
    <t>PPh Badan (cicilan kuartalan)</t>
  </si>
  <si>
    <t>Capex (mesin &amp; peralatan)</t>
  </si>
  <si>
    <t>TOTAL PENGELUARAN KAS OPERASI</t>
  </si>
  <si>
    <t>Catatan: pembelian bahan (baris 6) mengikuti penjualan. Pembayaran ke pemasok (baris 7) tertunda 1 bulan. Capex mesin Rp 60 jt di Feb memperkuat kapasitas menjelang puncak Mar–Apr. Bunga KMK dipotong terpisah di CASH_BUDGET.</t>
  </si>
  <si>
    <t>ANGGARAN KAS BULANAN — INTI MODEL</t>
  </si>
  <si>
    <t>Saldo + Collections − Disbursements − Bunga KMK → gap → Pinjam/Lunas → Saldo akhir. (Rp juta)</t>
  </si>
  <si>
    <t>Pos anggaran kas</t>
  </si>
  <si>
    <t>Saldo kas AWAL</t>
  </si>
  <si>
    <t>(+) Total penerimaan kas</t>
  </si>
  <si>
    <t>(−) Total pengeluaran kas operasi</t>
  </si>
  <si>
    <t>(−) Bunga KMK (1,2% × saldo KMK awal)</t>
  </si>
  <si>
    <t>'= Saldo tersedia sebelum pembiayaan</t>
  </si>
  <si>
    <t>Saldo kas minimum</t>
  </si>
  <si>
    <t>Surplus/(defisit) thd minimum</t>
  </si>
  <si>
    <t>PEMBIAYAAN (KMK)</t>
  </si>
  <si>
    <t xml:space="preserve">  Saldo KMK awal bln (akumulasi)</t>
  </si>
  <si>
    <t xml:space="preserve">  Pinjam KMK (tambahan)</t>
  </si>
  <si>
    <t xml:space="preserve">  Pelunasan KMK</t>
  </si>
  <si>
    <t xml:space="preserve">  Saldo KMK AKHIR bulan</t>
  </si>
  <si>
    <t>SALDO KAS AKHIR (akhir bulan)</t>
  </si>
  <si>
    <t>Cek: saldo akhir ≥ minimum ?</t>
  </si>
  <si>
    <t>Logika pembiayaan (non-sirkular): bunga KMK dihitung dari SALDO AWAL bln (baris 14), bukan saldo akhir — sehingga tidak tergantung pinjaman bln berjalan. Defisit → pinjam (dibulatkan ke atas). Surplus → lunasi KMK (dibulatkan ke bawah, maksimal saldo KMK). Konstruksi ini menjamin saldo akhir ≥ minimum.</t>
  </si>
  <si>
    <t>RINGKASAN ANGGARAN KAS 6-BULAN</t>
  </si>
  <si>
    <t>Ringkasan + indikator kunci. Semua sel formula. (Rp juta)</t>
  </si>
  <si>
    <t>Indikator</t>
  </si>
  <si>
    <t>Total collections</t>
  </si>
  <si>
    <t>Total disbursements operasi</t>
  </si>
  <si>
    <t>Bunga KMK</t>
  </si>
  <si>
    <t>Pinjaman KMK bulan ini</t>
  </si>
  <si>
    <t>Pelunasan KMK bulan ini</t>
  </si>
  <si>
    <t>Saldo KMK akhir bulan</t>
  </si>
  <si>
    <t>Net cash flow bln ini (incl. financing)</t>
  </si>
  <si>
    <t>Saldo kas akhir</t>
  </si>
  <si>
    <t>RASIO &amp; INDIKATOR</t>
  </si>
  <si>
    <t>Collection ratio (col/sales)</t>
  </si>
  <si>
    <t>Coverage kas (akhir/minimum)</t>
  </si>
  <si>
    <t>CEK KONSISTENSI — EMPAT TES OTOMATIS</t>
  </si>
  <si>
    <t>Jika semua verdict = OK, model konsisten. Ubah input → tes re-evaluate otomatis.</t>
  </si>
  <si>
    <t>Tes</t>
  </si>
  <si>
    <t>Angka A</t>
  </si>
  <si>
    <t>Angka B</t>
  </si>
  <si>
    <t>Selisih</t>
  </si>
  <si>
    <t>Verdict</t>
  </si>
  <si>
    <t>1. Roll-forward kas: Saldo Jun (chain) = KasAwal + Σcoll + Σborrow − Σrepay − Σdis − Σbunga</t>
  </si>
  <si>
    <t>2. Roll-forward KMK: Σ pinjam = Σ pelunasan + saldo KMK Jun</t>
  </si>
  <si>
    <t>3. Setiap bulan saldo akhir ≥ minimum (selisih terkecil ≥ 0)</t>
  </si>
  <si>
    <t>4. Saldo KMK tidak pernah negatif (saldo terkecil ≥ 0)</t>
  </si>
  <si>
    <t>Interpretasi: semua sel di kolom F harus 'OK'. Bila muncul 'CEK!', periksa input ASUMSI — mis. tunai+lag1+lag2 &gt; 100% membuat collection over-counted, atau minimum kas terlalu tinggi sehingga tidak terpenuhi.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</si>
</sst>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&quot;Rp&quot;#,##0&quot; juta&quot;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i/>
      <sz val="10"/>
      <color rgb="FF555555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1F4E79"/>
      <name val="Calibri"/>
    </font>
    <font>
      <i/>
      <sz val="9"/>
      <color rgb="FF555555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5F5F5"/>
      </patternFill>
    </fill>
    <fill>
      <patternFill patternType="solid">
        <fgColor rgb="FFFFF59D"/>
      </patternFill>
    </fill>
    <fill>
      <patternFill patternType="solid">
        <fgColor rgb="FFFFE0B2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3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3" borderId="1" xfId="0" applyFill="1" applyBorder="1"/>
    <xf numFmtId="164" fontId="5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5" fontId="5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165" fontId="3" fillId="5" borderId="1" xfId="0" applyNumberFormat="1" applyFont="1" applyFill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3" fillId="4" borderId="1" xfId="0" applyNumberFormat="1" applyFont="1" applyFill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165" fontId="4" fillId="6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2" fillId="3" borderId="0" xfId="0" applyFont="1" applyFill="1" applyAlignment="1">
      <alignment horizontal="center" vertical="center" wrapText="1"/>
    </xf>
    <xf numFmtId="0" fontId="0" fillId="0" borderId="0" xfId="0"/>
    <xf numFmtId="0" fontId="6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2"/>
  <c:chart>
    <c:title>
      <c:tx>
        <c:rich>
          <a:bodyPr/>
          <a:lstStyle/>
          <a:p>
            <a:pPr>
              <a:defRPr/>
            </a:pPr>
            <a:r>
              <a:t>Saldo Kas Akhir vs Minimum (Rp juta)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Saldo Kas Akhir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RINGKASAN!$C$5:$H$5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Mei</c:v>
                </c:pt>
                <c:pt idx="5">
                  <c:v>Jun</c:v>
                </c:pt>
              </c:strCache>
            </c:strRef>
          </c:cat>
          <c:val>
            <c:numRef>
              <c:f>RINGKASAN!$C$13</c:f>
              <c:numCache>
                <c:formatCode>"Rp"#,##0" juta"</c:formatCode>
                <c:ptCount val="1"/>
                <c:pt idx="0">
                  <c:v>52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E41-4E74-8247-F702713EEF42}"/>
            </c:ext>
          </c:extLst>
        </c:ser>
        <c:ser>
          <c:idx val="1"/>
          <c:order val="1"/>
          <c:tx>
            <c:v>Minimum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RINGKASAN!$C$5:$H$5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Mei</c:v>
                </c:pt>
                <c:pt idx="5">
                  <c:v>Jun</c:v>
                </c:pt>
              </c:strCache>
            </c:strRef>
          </c:cat>
          <c:val>
            <c:numRef>
              <c:f>RINGKASAN!$D$13</c:f>
              <c:numCache>
                <c:formatCode>"Rp"#,##0" juta"</c:formatCode>
                <c:ptCount val="1"/>
                <c:pt idx="0">
                  <c:v>52.760000000000005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7E41-4E74-8247-F702713EEF42}"/>
            </c:ext>
          </c:extLst>
        </c:ser>
        <c:ser>
          <c:idx val="2"/>
          <c:order val="2"/>
          <c:spPr>
            <a:ln>
              <a:prstDash val="solid"/>
            </a:ln>
          </c:spPr>
          <c:marker>
            <c:symbol val="none"/>
          </c:marker>
          <c:cat>
            <c:strRef>
              <c:f>RINGKASAN!$C$5:$H$5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Mei</c:v>
                </c:pt>
                <c:pt idx="5">
                  <c:v>Jun</c:v>
                </c:pt>
              </c:strCache>
            </c:strRef>
          </c:cat>
          <c:val>
            <c:numRef>
              <c:f>RINGKASAN!$E$13</c:f>
              <c:numCache>
                <c:formatCode>"Rp"#,##0" juta"</c:formatCode>
                <c:ptCount val="1"/>
                <c:pt idx="0">
                  <c:v>51.38000000000001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7E41-4E74-8247-F702713EEF42}"/>
            </c:ext>
          </c:extLst>
        </c:ser>
        <c:ser>
          <c:idx val="3"/>
          <c:order val="3"/>
          <c:spPr>
            <a:ln>
              <a:prstDash val="solid"/>
            </a:ln>
          </c:spPr>
          <c:marker>
            <c:symbol val="none"/>
          </c:marker>
          <c:cat>
            <c:strRef>
              <c:f>RINGKASAN!$C$5:$H$5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Mei</c:v>
                </c:pt>
                <c:pt idx="5">
                  <c:v>Jun</c:v>
                </c:pt>
              </c:strCache>
            </c:strRef>
          </c:cat>
          <c:val>
            <c:numRef>
              <c:f>RINGKASAN!$F$13</c:f>
              <c:numCache>
                <c:formatCode>"Rp"#,##0" juta"</c:formatCode>
                <c:ptCount val="1"/>
                <c:pt idx="0">
                  <c:v>53.94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7E41-4E74-8247-F702713EEF42}"/>
            </c:ext>
          </c:extLst>
        </c:ser>
        <c:ser>
          <c:idx val="4"/>
          <c:order val="4"/>
          <c:spPr>
            <a:ln>
              <a:prstDash val="solid"/>
            </a:ln>
          </c:spPr>
          <c:marker>
            <c:symbol val="none"/>
          </c:marker>
          <c:cat>
            <c:strRef>
              <c:f>RINGKASAN!$C$5:$H$5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Mei</c:v>
                </c:pt>
                <c:pt idx="5">
                  <c:v>Jun</c:v>
                </c:pt>
              </c:strCache>
            </c:strRef>
          </c:cat>
          <c:val>
            <c:numRef>
              <c:f>RINGKASAN!$G$13</c:f>
              <c:numCache>
                <c:formatCode>"Rp"#,##0" juta"</c:formatCode>
                <c:ptCount val="1"/>
                <c:pt idx="0">
                  <c:v>52.560000000000059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7E41-4E74-8247-F702713EEF42}"/>
            </c:ext>
          </c:extLst>
        </c:ser>
        <c:ser>
          <c:idx val="5"/>
          <c:order val="5"/>
          <c:spPr>
            <a:ln>
              <a:prstDash val="solid"/>
            </a:ln>
          </c:spPr>
          <c:marker>
            <c:symbol val="none"/>
          </c:marker>
          <c:cat>
            <c:strRef>
              <c:f>RINGKASAN!$C$5:$H$5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Mei</c:v>
                </c:pt>
                <c:pt idx="5">
                  <c:v>Jun</c:v>
                </c:pt>
              </c:strCache>
            </c:strRef>
          </c:cat>
          <c:val>
            <c:numRef>
              <c:f>RINGKASAN!$H$13</c:f>
              <c:numCache>
                <c:formatCode>"Rp"#,##0" juta"</c:formatCode>
                <c:ptCount val="1"/>
                <c:pt idx="0">
                  <c:v>127.94000000000003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7E41-4E74-8247-F702713EEF42}"/>
            </c:ext>
          </c:extLst>
        </c:ser>
        <c:ser>
          <c:idx val="6"/>
          <c:order val="6"/>
          <c:spPr>
            <a:ln>
              <a:prstDash val="solid"/>
            </a:ln>
          </c:spPr>
          <c:marker>
            <c:symbol val="none"/>
          </c:marker>
          <c:cat>
            <c:strRef>
              <c:f>RINGKASAN!$C$5:$H$5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Mei</c:v>
                </c:pt>
                <c:pt idx="5">
                  <c:v>Jun</c:v>
                </c:pt>
              </c:strCache>
            </c:strRef>
          </c:cat>
          <c:val>
            <c:numRef>
              <c:f>RINGKASAN!$C$14</c:f>
              <c:numCache>
                <c:formatCode>"Rp"#,##0" juta"</c:formatCode>
                <c:ptCount val="1"/>
                <c:pt idx="0">
                  <c:v>50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6-7E41-4E74-8247-F702713EEF42}"/>
            </c:ext>
          </c:extLst>
        </c:ser>
        <c:ser>
          <c:idx val="7"/>
          <c:order val="7"/>
          <c:spPr>
            <a:ln>
              <a:prstDash val="solid"/>
            </a:ln>
          </c:spPr>
          <c:marker>
            <c:symbol val="none"/>
          </c:marker>
          <c:cat>
            <c:strRef>
              <c:f>RINGKASAN!$C$5:$H$5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Mei</c:v>
                </c:pt>
                <c:pt idx="5">
                  <c:v>Jun</c:v>
                </c:pt>
              </c:strCache>
            </c:strRef>
          </c:cat>
          <c:val>
            <c:numRef>
              <c:f>RINGKASAN!$D$14</c:f>
              <c:numCache>
                <c:formatCode>"Rp"#,##0" juta"</c:formatCode>
                <c:ptCount val="1"/>
                <c:pt idx="0">
                  <c:v>50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7E41-4E74-8247-F702713EEF42}"/>
            </c:ext>
          </c:extLst>
        </c:ser>
        <c:ser>
          <c:idx val="8"/>
          <c:order val="8"/>
          <c:spPr>
            <a:ln>
              <a:prstDash val="solid"/>
            </a:ln>
          </c:spPr>
          <c:marker>
            <c:symbol val="none"/>
          </c:marker>
          <c:cat>
            <c:strRef>
              <c:f>RINGKASAN!$C$5:$H$5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Mei</c:v>
                </c:pt>
                <c:pt idx="5">
                  <c:v>Jun</c:v>
                </c:pt>
              </c:strCache>
            </c:strRef>
          </c:cat>
          <c:val>
            <c:numRef>
              <c:f>RINGKASAN!$E$14</c:f>
              <c:numCache>
                <c:formatCode>"Rp"#,##0" juta"</c:formatCode>
                <c:ptCount val="1"/>
                <c:pt idx="0">
                  <c:v>50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7E41-4E74-8247-F702713EEF42}"/>
            </c:ext>
          </c:extLst>
        </c:ser>
        <c:ser>
          <c:idx val="9"/>
          <c:order val="9"/>
          <c:spPr>
            <a:ln>
              <a:prstDash val="solid"/>
            </a:ln>
          </c:spPr>
          <c:marker>
            <c:symbol val="none"/>
          </c:marker>
          <c:cat>
            <c:strRef>
              <c:f>RINGKASAN!$C$5:$H$5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Mei</c:v>
                </c:pt>
                <c:pt idx="5">
                  <c:v>Jun</c:v>
                </c:pt>
              </c:strCache>
            </c:strRef>
          </c:cat>
          <c:val>
            <c:numRef>
              <c:f>RINGKASAN!$F$14</c:f>
              <c:numCache>
                <c:formatCode>"Rp"#,##0" juta"</c:formatCode>
                <c:ptCount val="1"/>
                <c:pt idx="0">
                  <c:v>50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9-7E41-4E74-8247-F702713EEF42}"/>
            </c:ext>
          </c:extLst>
        </c:ser>
        <c:ser>
          <c:idx val="10"/>
          <c:order val="10"/>
          <c:spPr>
            <a:ln>
              <a:prstDash val="solid"/>
            </a:ln>
          </c:spPr>
          <c:marker>
            <c:symbol val="none"/>
          </c:marker>
          <c:cat>
            <c:strRef>
              <c:f>RINGKASAN!$C$5:$H$5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Mei</c:v>
                </c:pt>
                <c:pt idx="5">
                  <c:v>Jun</c:v>
                </c:pt>
              </c:strCache>
            </c:strRef>
          </c:cat>
          <c:val>
            <c:numRef>
              <c:f>RINGKASAN!$G$14</c:f>
              <c:numCache>
                <c:formatCode>"Rp"#,##0" juta"</c:formatCode>
                <c:ptCount val="1"/>
                <c:pt idx="0">
                  <c:v>50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A-7E41-4E74-8247-F702713EEF42}"/>
            </c:ext>
          </c:extLst>
        </c:ser>
        <c:ser>
          <c:idx val="11"/>
          <c:order val="11"/>
          <c:spPr>
            <a:ln>
              <a:prstDash val="solid"/>
            </a:ln>
          </c:spPr>
          <c:marker>
            <c:symbol val="none"/>
          </c:marker>
          <c:cat>
            <c:strRef>
              <c:f>RINGKASAN!$C$5:$H$5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Mei</c:v>
                </c:pt>
                <c:pt idx="5">
                  <c:v>Jun</c:v>
                </c:pt>
              </c:strCache>
            </c:strRef>
          </c:cat>
          <c:val>
            <c:numRef>
              <c:f>RINGKASAN!$H$14</c:f>
              <c:numCache>
                <c:formatCode>"Rp"#,##0" juta"</c:formatCode>
                <c:ptCount val="1"/>
                <c:pt idx="0">
                  <c:v>50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B-7E41-4E74-8247-F702713EEF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Bulan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Rp juta</a:t>
                </a:r>
              </a:p>
            </c:rich>
          </c:tx>
          <c:overlay val="1"/>
        </c:title>
        <c:numFmt formatCode="&quot;Rp&quot;#,##0&quot; juta&quot;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648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9"/>
  <sheetViews>
    <sheetView showGridLines="0" tabSelected="1" workbookViewId="0"/>
  </sheetViews>
  <sheetFormatPr defaultRowHeight="15" x14ac:dyDescent="0.25"/>
  <cols>
    <col min="1" max="1" width="3" customWidth="1"/>
    <col min="2" max="2" width="28" customWidth="1"/>
    <col min="3" max="3" width="82" customWidth="1"/>
  </cols>
  <sheetData>
    <row r="2" spans="2:3" ht="30" customHeight="1" x14ac:dyDescent="0.25">
      <c r="B2" s="30" t="s">
        <v>0</v>
      </c>
      <c r="C2" s="28"/>
    </row>
    <row r="3" spans="2:3" x14ac:dyDescent="0.25">
      <c r="B3" s="27" t="s">
        <v>1</v>
      </c>
      <c r="C3" s="28"/>
    </row>
    <row r="5" spans="2:3" x14ac:dyDescent="0.25">
      <c r="B5" s="1" t="s">
        <v>2</v>
      </c>
    </row>
    <row r="6" spans="2:3" ht="30" x14ac:dyDescent="0.25">
      <c r="B6" s="2" t="s">
        <v>3</v>
      </c>
      <c r="C6" s="3" t="s">
        <v>4</v>
      </c>
    </row>
    <row r="7" spans="2:3" ht="30" x14ac:dyDescent="0.25">
      <c r="B7" s="2" t="s">
        <v>5</v>
      </c>
      <c r="C7" s="3" t="s">
        <v>6</v>
      </c>
    </row>
    <row r="8" spans="2:3" ht="30" x14ac:dyDescent="0.25">
      <c r="B8" s="2" t="s">
        <v>7</v>
      </c>
      <c r="C8" s="3" t="s">
        <v>8</v>
      </c>
    </row>
    <row r="9" spans="2:3" ht="30" x14ac:dyDescent="0.25">
      <c r="B9" s="2" t="s">
        <v>9</v>
      </c>
      <c r="C9" s="3" t="s">
        <v>10</v>
      </c>
    </row>
    <row r="10" spans="2:3" ht="30" x14ac:dyDescent="0.25">
      <c r="B10" s="2" t="s">
        <v>11</v>
      </c>
      <c r="C10" s="3" t="s">
        <v>12</v>
      </c>
    </row>
    <row r="11" spans="2:3" ht="30" x14ac:dyDescent="0.25">
      <c r="B11" s="2" t="s">
        <v>13</v>
      </c>
      <c r="C11" s="3" t="s">
        <v>14</v>
      </c>
    </row>
    <row r="12" spans="2:3" ht="30" x14ac:dyDescent="0.25">
      <c r="B12" s="2" t="s">
        <v>15</v>
      </c>
      <c r="C12" s="3" t="s">
        <v>16</v>
      </c>
    </row>
    <row r="14" spans="2:3" x14ac:dyDescent="0.25">
      <c r="B14" s="4" t="s">
        <v>17</v>
      </c>
    </row>
    <row r="15" spans="2:3" ht="30" x14ac:dyDescent="0.25">
      <c r="B15" s="5" t="s">
        <v>18</v>
      </c>
      <c r="C15" s="3" t="s">
        <v>19</v>
      </c>
    </row>
    <row r="16" spans="2:3" x14ac:dyDescent="0.25">
      <c r="B16" s="3" t="s">
        <v>20</v>
      </c>
      <c r="C16" s="3" t="s">
        <v>21</v>
      </c>
    </row>
    <row r="17" spans="2:3" x14ac:dyDescent="0.25">
      <c r="B17" s="6" t="s">
        <v>22</v>
      </c>
      <c r="C17" s="3" t="s">
        <v>23</v>
      </c>
    </row>
    <row r="19" spans="2:3" x14ac:dyDescent="0.25">
      <c r="B19" s="29" t="s">
        <v>24</v>
      </c>
      <c r="C19" s="28"/>
    </row>
  </sheetData>
  <mergeCells count="3">
    <mergeCell ref="B3:C3"/>
    <mergeCell ref="B19:C19"/>
    <mergeCell ref="B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25"/>
  <sheetViews>
    <sheetView showGridLines="0" workbookViewId="0"/>
  </sheetViews>
  <sheetFormatPr defaultRowHeight="15" x14ac:dyDescent="0.25"/>
  <cols>
    <col min="1" max="1" width="3" customWidth="1"/>
    <col min="2" max="2" width="44" customWidth="1"/>
    <col min="3" max="8" width="12" customWidth="1"/>
    <col min="9" max="9" width="20" customWidth="1"/>
  </cols>
  <sheetData>
    <row r="2" spans="2:9" ht="27.95" customHeight="1" x14ac:dyDescent="0.25">
      <c r="B2" s="30" t="s">
        <v>25</v>
      </c>
      <c r="C2" s="28"/>
      <c r="D2" s="28"/>
      <c r="E2" s="28"/>
      <c r="F2" s="28"/>
      <c r="G2" s="28"/>
      <c r="H2" s="28"/>
      <c r="I2" s="28"/>
    </row>
    <row r="3" spans="2:9" x14ac:dyDescent="0.25">
      <c r="B3" s="27" t="s">
        <v>26</v>
      </c>
      <c r="C3" s="28"/>
      <c r="D3" s="28"/>
      <c r="E3" s="28"/>
      <c r="F3" s="28"/>
      <c r="G3" s="28"/>
      <c r="H3" s="28"/>
      <c r="I3" s="28"/>
    </row>
    <row r="5" spans="2:9" x14ac:dyDescent="0.25">
      <c r="B5" s="7" t="s">
        <v>27</v>
      </c>
      <c r="C5" s="7" t="s">
        <v>28</v>
      </c>
      <c r="D5" s="7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</row>
    <row r="7" spans="2:9" x14ac:dyDescent="0.25">
      <c r="B7" s="8" t="s">
        <v>35</v>
      </c>
      <c r="C7" s="9"/>
      <c r="D7" s="9"/>
      <c r="E7" s="9"/>
      <c r="F7" s="9"/>
      <c r="G7" s="9"/>
      <c r="H7" s="9"/>
      <c r="I7" s="9"/>
    </row>
    <row r="8" spans="2:9" x14ac:dyDescent="0.25">
      <c r="B8" s="3" t="s">
        <v>36</v>
      </c>
      <c r="C8" s="10">
        <v>0.2</v>
      </c>
      <c r="D8" s="10">
        <v>0.2</v>
      </c>
      <c r="E8" s="10">
        <v>0.2</v>
      </c>
      <c r="F8" s="10">
        <v>0.2</v>
      </c>
      <c r="G8" s="10">
        <v>0.2</v>
      </c>
      <c r="H8" s="10">
        <v>0.2</v>
      </c>
      <c r="I8" s="11" t="s">
        <v>37</v>
      </c>
    </row>
    <row r="9" spans="2:9" x14ac:dyDescent="0.25">
      <c r="B9" s="3" t="s">
        <v>38</v>
      </c>
      <c r="C9" s="10">
        <v>0.6</v>
      </c>
      <c r="D9" s="10">
        <v>0.6</v>
      </c>
      <c r="E9" s="10">
        <v>0.6</v>
      </c>
      <c r="F9" s="10">
        <v>0.6</v>
      </c>
      <c r="G9" s="10">
        <v>0.6</v>
      </c>
      <c r="H9" s="10">
        <v>0.6</v>
      </c>
      <c r="I9" s="11" t="s">
        <v>39</v>
      </c>
    </row>
    <row r="10" spans="2:9" x14ac:dyDescent="0.25">
      <c r="B10" s="3" t="s">
        <v>40</v>
      </c>
      <c r="C10" s="10">
        <v>0.35</v>
      </c>
      <c r="D10" s="10">
        <v>0.35</v>
      </c>
      <c r="E10" s="10">
        <v>0.35</v>
      </c>
      <c r="F10" s="10">
        <v>0.35</v>
      </c>
      <c r="G10" s="10">
        <v>0.35</v>
      </c>
      <c r="H10" s="10">
        <v>0.35</v>
      </c>
      <c r="I10" s="11" t="s">
        <v>41</v>
      </c>
    </row>
    <row r="11" spans="2:9" x14ac:dyDescent="0.25">
      <c r="B11" s="12" t="s">
        <v>42</v>
      </c>
      <c r="C11" s="13">
        <f t="shared" ref="C11:H11" si="0">C8+(1-C8)*(C9+C10)</f>
        <v>0.96</v>
      </c>
      <c r="D11" s="13">
        <f t="shared" si="0"/>
        <v>0.96</v>
      </c>
      <c r="E11" s="13">
        <f t="shared" si="0"/>
        <v>0.96</v>
      </c>
      <c r="F11" s="13">
        <f t="shared" si="0"/>
        <v>0.96</v>
      </c>
      <c r="G11" s="13">
        <f t="shared" si="0"/>
        <v>0.96</v>
      </c>
      <c r="H11" s="13">
        <f t="shared" si="0"/>
        <v>0.96</v>
      </c>
      <c r="I11" s="11" t="s">
        <v>43</v>
      </c>
    </row>
    <row r="13" spans="2:9" x14ac:dyDescent="0.25">
      <c r="B13" s="8" t="s">
        <v>44</v>
      </c>
      <c r="C13" s="9"/>
      <c r="D13" s="9"/>
      <c r="E13" s="9"/>
      <c r="F13" s="9"/>
      <c r="G13" s="9"/>
      <c r="H13" s="9"/>
      <c r="I13" s="9"/>
    </row>
    <row r="14" spans="2:9" x14ac:dyDescent="0.25">
      <c r="B14" s="3" t="s">
        <v>45</v>
      </c>
      <c r="C14" s="10">
        <v>0.6</v>
      </c>
      <c r="D14" s="10">
        <v>0.6</v>
      </c>
      <c r="E14" s="10">
        <v>0.6</v>
      </c>
      <c r="F14" s="10">
        <v>0.6</v>
      </c>
      <c r="G14" s="10">
        <v>0.6</v>
      </c>
      <c r="H14" s="10">
        <v>0.6</v>
      </c>
      <c r="I14" s="11" t="s">
        <v>46</v>
      </c>
    </row>
    <row r="15" spans="2:9" x14ac:dyDescent="0.25">
      <c r="B15" s="3" t="s">
        <v>47</v>
      </c>
      <c r="C15" s="10">
        <v>1</v>
      </c>
      <c r="D15" s="10">
        <v>1</v>
      </c>
      <c r="E15" s="10">
        <v>1</v>
      </c>
      <c r="F15" s="10">
        <v>1</v>
      </c>
      <c r="G15" s="10">
        <v>1</v>
      </c>
      <c r="H15" s="10">
        <v>1</v>
      </c>
      <c r="I15" s="11" t="s">
        <v>48</v>
      </c>
    </row>
    <row r="17" spans="2:9" x14ac:dyDescent="0.25">
      <c r="B17" s="8" t="s">
        <v>49</v>
      </c>
      <c r="C17" s="9"/>
      <c r="D17" s="9"/>
      <c r="E17" s="9"/>
      <c r="F17" s="9"/>
      <c r="G17" s="9"/>
      <c r="H17" s="9"/>
      <c r="I17" s="9"/>
    </row>
    <row r="18" spans="2:9" x14ac:dyDescent="0.25">
      <c r="B18" s="3" t="s">
        <v>50</v>
      </c>
      <c r="C18" s="14">
        <v>50</v>
      </c>
      <c r="D18" s="14">
        <v>50</v>
      </c>
      <c r="E18" s="14">
        <v>50</v>
      </c>
      <c r="F18" s="14">
        <v>50</v>
      </c>
      <c r="G18" s="14">
        <v>50</v>
      </c>
      <c r="H18" s="14">
        <v>50</v>
      </c>
      <c r="I18" s="11" t="s">
        <v>51</v>
      </c>
    </row>
    <row r="19" spans="2:9" x14ac:dyDescent="0.25">
      <c r="B19" s="3" t="s">
        <v>52</v>
      </c>
      <c r="C19" s="10">
        <v>1.2E-2</v>
      </c>
      <c r="D19" s="10">
        <v>1.2E-2</v>
      </c>
      <c r="E19" s="10">
        <v>1.2E-2</v>
      </c>
      <c r="F19" s="10">
        <v>1.2E-2</v>
      </c>
      <c r="G19" s="10">
        <v>1.2E-2</v>
      </c>
      <c r="H19" s="10">
        <v>1.2E-2</v>
      </c>
      <c r="I19" s="11" t="s">
        <v>53</v>
      </c>
    </row>
    <row r="20" spans="2:9" x14ac:dyDescent="0.25">
      <c r="B20" s="3" t="s">
        <v>54</v>
      </c>
      <c r="C20" s="15">
        <v>5</v>
      </c>
      <c r="D20" s="15">
        <v>5</v>
      </c>
      <c r="E20" s="15">
        <v>5</v>
      </c>
      <c r="F20" s="15">
        <v>5</v>
      </c>
      <c r="G20" s="15">
        <v>5</v>
      </c>
      <c r="H20" s="15">
        <v>5</v>
      </c>
      <c r="I20" s="11" t="s">
        <v>55</v>
      </c>
    </row>
    <row r="22" spans="2:9" x14ac:dyDescent="0.25">
      <c r="B22" s="8" t="s">
        <v>56</v>
      </c>
      <c r="C22" s="9"/>
      <c r="D22" s="9"/>
      <c r="E22" s="9"/>
      <c r="F22" s="9"/>
      <c r="G22" s="9"/>
      <c r="H22" s="9"/>
      <c r="I22" s="9"/>
    </row>
    <row r="23" spans="2:9" x14ac:dyDescent="0.25">
      <c r="B23" s="3" t="s">
        <v>57</v>
      </c>
      <c r="C23" s="14">
        <v>60</v>
      </c>
      <c r="D23" s="16"/>
      <c r="E23" s="16"/>
      <c r="F23" s="16"/>
      <c r="G23" s="16"/>
      <c r="H23" s="16"/>
      <c r="I23" s="11" t="s">
        <v>58</v>
      </c>
    </row>
    <row r="24" spans="2:9" x14ac:dyDescent="0.25">
      <c r="B24" s="3" t="s">
        <v>59</v>
      </c>
      <c r="C24" s="14">
        <v>45</v>
      </c>
      <c r="D24" s="16"/>
      <c r="E24" s="16"/>
      <c r="F24" s="16"/>
      <c r="G24" s="16"/>
      <c r="H24" s="16"/>
      <c r="I24" s="11" t="s">
        <v>58</v>
      </c>
    </row>
    <row r="25" spans="2:9" x14ac:dyDescent="0.25">
      <c r="B25" s="3" t="s">
        <v>60</v>
      </c>
      <c r="C25" s="14">
        <v>40</v>
      </c>
      <c r="D25" s="16"/>
      <c r="E25" s="16"/>
      <c r="F25" s="16"/>
      <c r="G25" s="16"/>
      <c r="H25" s="16"/>
      <c r="I25" s="11" t="s">
        <v>58</v>
      </c>
    </row>
  </sheetData>
  <mergeCells count="2">
    <mergeCell ref="B3:I3"/>
    <mergeCell ref="B2:I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I10"/>
  <sheetViews>
    <sheetView showGridLines="0" workbookViewId="0"/>
  </sheetViews>
  <sheetFormatPr defaultRowHeight="15" x14ac:dyDescent="0.25"/>
  <cols>
    <col min="1" max="1" width="3" customWidth="1"/>
    <col min="2" max="2" width="38" customWidth="1"/>
    <col min="3" max="8" width="13" customWidth="1"/>
    <col min="9" max="9" width="14" customWidth="1"/>
  </cols>
  <sheetData>
    <row r="2" spans="2:9" ht="27.95" customHeight="1" x14ac:dyDescent="0.25">
      <c r="B2" s="30" t="s">
        <v>61</v>
      </c>
      <c r="C2" s="28"/>
      <c r="D2" s="28"/>
      <c r="E2" s="28"/>
      <c r="F2" s="28"/>
      <c r="G2" s="28"/>
      <c r="H2" s="28"/>
      <c r="I2" s="28"/>
    </row>
    <row r="3" spans="2:9" x14ac:dyDescent="0.25">
      <c r="B3" s="27" t="s">
        <v>62</v>
      </c>
      <c r="C3" s="28"/>
      <c r="D3" s="28"/>
      <c r="E3" s="28"/>
      <c r="F3" s="28"/>
      <c r="G3" s="28"/>
      <c r="H3" s="28"/>
      <c r="I3" s="28"/>
    </row>
    <row r="5" spans="2:9" x14ac:dyDescent="0.25">
      <c r="B5" s="7" t="s">
        <v>27</v>
      </c>
      <c r="C5" s="7" t="s">
        <v>28</v>
      </c>
      <c r="D5" s="7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</row>
    <row r="6" spans="2:9" x14ac:dyDescent="0.25">
      <c r="B6" s="12" t="s">
        <v>63</v>
      </c>
      <c r="C6" s="14">
        <v>450</v>
      </c>
      <c r="D6" s="14">
        <v>520</v>
      </c>
      <c r="E6" s="14">
        <v>680</v>
      </c>
      <c r="F6" s="14">
        <v>720</v>
      </c>
      <c r="G6" s="14">
        <v>590</v>
      </c>
      <c r="H6" s="14">
        <v>540</v>
      </c>
      <c r="I6" s="17">
        <f>SUM(C6:H6)</f>
        <v>3500</v>
      </c>
    </row>
    <row r="7" spans="2:9" x14ac:dyDescent="0.25">
      <c r="B7" s="3" t="s">
        <v>64</v>
      </c>
      <c r="C7" s="18">
        <f>C6*ASUMSI!C8</f>
        <v>90</v>
      </c>
      <c r="D7" s="18">
        <f>D6*ASUMSI!D8</f>
        <v>104</v>
      </c>
      <c r="E7" s="18">
        <f>E6*ASUMSI!E8</f>
        <v>136</v>
      </c>
      <c r="F7" s="18">
        <f>F6*ASUMSI!F8</f>
        <v>144</v>
      </c>
      <c r="G7" s="18">
        <f>G6*ASUMSI!G8</f>
        <v>118</v>
      </c>
      <c r="H7" s="18">
        <f>H6*ASUMSI!H8</f>
        <v>108</v>
      </c>
      <c r="I7" s="17">
        <f>SUM(C7:H7)</f>
        <v>700</v>
      </c>
    </row>
    <row r="8" spans="2:9" x14ac:dyDescent="0.25">
      <c r="B8" s="3" t="s">
        <v>65</v>
      </c>
      <c r="C8" s="18">
        <f>C6*(1-ASUMSI!C8)</f>
        <v>360</v>
      </c>
      <c r="D8" s="18">
        <f>D6*(1-ASUMSI!D8)</f>
        <v>416</v>
      </c>
      <c r="E8" s="18">
        <f>E6*(1-ASUMSI!E8)</f>
        <v>544</v>
      </c>
      <c r="F8" s="18">
        <f>F6*(1-ASUMSI!F8)</f>
        <v>576</v>
      </c>
      <c r="G8" s="18">
        <f>G6*(1-ASUMSI!G8)</f>
        <v>472</v>
      </c>
      <c r="H8" s="18">
        <f>H6*(1-ASUMSI!H8)</f>
        <v>432</v>
      </c>
      <c r="I8" s="17">
        <f>SUM(C8:H8)</f>
        <v>2800</v>
      </c>
    </row>
    <row r="10" spans="2:9" x14ac:dyDescent="0.25">
      <c r="B10" s="29" t="s">
        <v>66</v>
      </c>
      <c r="C10" s="28"/>
      <c r="D10" s="28"/>
      <c r="E10" s="28"/>
      <c r="F10" s="28"/>
      <c r="G10" s="28"/>
      <c r="H10" s="28"/>
      <c r="I10" s="28"/>
    </row>
  </sheetData>
  <mergeCells count="3">
    <mergeCell ref="B3:I3"/>
    <mergeCell ref="B2:I2"/>
    <mergeCell ref="B10:I1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I12"/>
  <sheetViews>
    <sheetView showGridLines="0" workbookViewId="0"/>
  </sheetViews>
  <sheetFormatPr defaultRowHeight="15" x14ac:dyDescent="0.25"/>
  <cols>
    <col min="1" max="1" width="3" customWidth="1"/>
    <col min="2" max="2" width="44" customWidth="1"/>
    <col min="3" max="8" width="13" customWidth="1"/>
    <col min="9" max="9" width="14" customWidth="1"/>
  </cols>
  <sheetData>
    <row r="2" spans="2:9" ht="27.95" customHeight="1" x14ac:dyDescent="0.25">
      <c r="B2" s="30" t="s">
        <v>67</v>
      </c>
      <c r="C2" s="28"/>
      <c r="D2" s="28"/>
      <c r="E2" s="28"/>
      <c r="F2" s="28"/>
      <c r="G2" s="28"/>
      <c r="H2" s="28"/>
      <c r="I2" s="28"/>
    </row>
    <row r="3" spans="2:9" x14ac:dyDescent="0.25">
      <c r="B3" s="27" t="s">
        <v>68</v>
      </c>
      <c r="C3" s="28"/>
      <c r="D3" s="28"/>
      <c r="E3" s="28"/>
      <c r="F3" s="28"/>
      <c r="G3" s="28"/>
      <c r="H3" s="28"/>
      <c r="I3" s="28"/>
    </row>
    <row r="5" spans="2:9" x14ac:dyDescent="0.25">
      <c r="B5" s="7" t="s">
        <v>69</v>
      </c>
      <c r="C5" s="7" t="s">
        <v>28</v>
      </c>
      <c r="D5" s="7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</row>
    <row r="6" spans="2:9" x14ac:dyDescent="0.25">
      <c r="B6" s="3" t="s">
        <v>70</v>
      </c>
      <c r="C6" s="18">
        <f>SALES_FORECAST!C7</f>
        <v>90</v>
      </c>
      <c r="D6" s="18">
        <f>SALES_FORECAST!D7</f>
        <v>104</v>
      </c>
      <c r="E6" s="18">
        <f>SALES_FORECAST!E7</f>
        <v>136</v>
      </c>
      <c r="F6" s="18">
        <f>SALES_FORECAST!F7</f>
        <v>144</v>
      </c>
      <c r="G6" s="18">
        <f>SALES_FORECAST!G7</f>
        <v>118</v>
      </c>
      <c r="H6" s="18">
        <f>SALES_FORECAST!H7</f>
        <v>108</v>
      </c>
      <c r="I6" s="17">
        <f>SUM(C6:H6)</f>
        <v>700</v>
      </c>
    </row>
    <row r="7" spans="2:9" x14ac:dyDescent="0.25">
      <c r="B7" s="3" t="s">
        <v>71</v>
      </c>
      <c r="C7" s="18">
        <f>ASUMSI!C24</f>
        <v>45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7">
        <f>SUM(C7:H7)</f>
        <v>45</v>
      </c>
    </row>
    <row r="8" spans="2:9" x14ac:dyDescent="0.25">
      <c r="B8" s="3" t="s">
        <v>72</v>
      </c>
      <c r="C8" s="18">
        <v>0</v>
      </c>
      <c r="D8" s="18">
        <f>SALES_FORECAST!C8*ASUMSI!D9</f>
        <v>216</v>
      </c>
      <c r="E8" s="18">
        <f>SALES_FORECAST!D8*ASUMSI!E9</f>
        <v>249.6</v>
      </c>
      <c r="F8" s="18">
        <f>SALES_FORECAST!E8*ASUMSI!F9</f>
        <v>326.39999999999998</v>
      </c>
      <c r="G8" s="18">
        <f>SALES_FORECAST!F8*ASUMSI!G9</f>
        <v>345.59999999999997</v>
      </c>
      <c r="H8" s="18">
        <f>SALES_FORECAST!G8*ASUMSI!H9</f>
        <v>283.2</v>
      </c>
      <c r="I8" s="17">
        <f>SUM(C8:H8)</f>
        <v>1420.8</v>
      </c>
    </row>
    <row r="9" spans="2:9" x14ac:dyDescent="0.25">
      <c r="B9" s="3" t="s">
        <v>73</v>
      </c>
      <c r="C9" s="18">
        <v>0</v>
      </c>
      <c r="D9" s="18">
        <v>0</v>
      </c>
      <c r="E9" s="18">
        <f>SALES_FORECAST!C8*ASUMSI!E10</f>
        <v>125.99999999999999</v>
      </c>
      <c r="F9" s="18">
        <f>SALES_FORECAST!D8*ASUMSI!F10</f>
        <v>145.6</v>
      </c>
      <c r="G9" s="18">
        <f>SALES_FORECAST!E8*ASUMSI!G10</f>
        <v>190.39999999999998</v>
      </c>
      <c r="H9" s="18">
        <f>SALES_FORECAST!F8*ASUMSI!H10</f>
        <v>201.6</v>
      </c>
      <c r="I9" s="17">
        <f>SUM(C9:H9)</f>
        <v>663.59999999999991</v>
      </c>
    </row>
    <row r="10" spans="2:9" x14ac:dyDescent="0.25">
      <c r="B10" s="12" t="s">
        <v>74</v>
      </c>
      <c r="C10" s="17">
        <f t="shared" ref="C10:H10" si="0">SUM(C6:C9)</f>
        <v>135</v>
      </c>
      <c r="D10" s="17">
        <f t="shared" si="0"/>
        <v>320</v>
      </c>
      <c r="E10" s="17">
        <f t="shared" si="0"/>
        <v>511.6</v>
      </c>
      <c r="F10" s="17">
        <f t="shared" si="0"/>
        <v>616</v>
      </c>
      <c r="G10" s="17">
        <f t="shared" si="0"/>
        <v>654</v>
      </c>
      <c r="H10" s="17">
        <f t="shared" si="0"/>
        <v>592.79999999999995</v>
      </c>
      <c r="I10" s="17">
        <f>SUM(C10:H10)</f>
        <v>2829.3999999999996</v>
      </c>
    </row>
    <row r="12" spans="2:9" x14ac:dyDescent="0.25">
      <c r="B12" s="29" t="s">
        <v>75</v>
      </c>
      <c r="C12" s="28"/>
      <c r="D12" s="28"/>
      <c r="E12" s="28"/>
      <c r="F12" s="28"/>
      <c r="G12" s="28"/>
      <c r="H12" s="28"/>
      <c r="I12" s="28"/>
    </row>
  </sheetData>
  <mergeCells count="3">
    <mergeCell ref="B12:I12"/>
    <mergeCell ref="B3:I3"/>
    <mergeCell ref="B2:I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I15"/>
  <sheetViews>
    <sheetView showGridLines="0" workbookViewId="0"/>
  </sheetViews>
  <sheetFormatPr defaultRowHeight="15" x14ac:dyDescent="0.25"/>
  <cols>
    <col min="1" max="1" width="3" customWidth="1"/>
    <col min="2" max="2" width="42" customWidth="1"/>
    <col min="3" max="8" width="13" customWidth="1"/>
    <col min="9" max="9" width="14" customWidth="1"/>
  </cols>
  <sheetData>
    <row r="2" spans="2:9" ht="27.95" customHeight="1" x14ac:dyDescent="0.25">
      <c r="B2" s="30" t="s">
        <v>76</v>
      </c>
      <c r="C2" s="28"/>
      <c r="D2" s="28"/>
      <c r="E2" s="28"/>
      <c r="F2" s="28"/>
      <c r="G2" s="28"/>
      <c r="H2" s="28"/>
      <c r="I2" s="28"/>
    </row>
    <row r="3" spans="2:9" x14ac:dyDescent="0.25">
      <c r="B3" s="27" t="s">
        <v>77</v>
      </c>
      <c r="C3" s="28"/>
      <c r="D3" s="28"/>
      <c r="E3" s="28"/>
      <c r="F3" s="28"/>
      <c r="G3" s="28"/>
      <c r="H3" s="28"/>
      <c r="I3" s="28"/>
    </row>
    <row r="5" spans="2:9" x14ac:dyDescent="0.25">
      <c r="B5" s="7" t="s">
        <v>78</v>
      </c>
      <c r="C5" s="7" t="s">
        <v>28</v>
      </c>
      <c r="D5" s="7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</row>
    <row r="6" spans="2:9" x14ac:dyDescent="0.25">
      <c r="B6" s="3" t="s">
        <v>79</v>
      </c>
      <c r="C6" s="18">
        <f>SALES_FORECAST!C6*ASUMSI!C14</f>
        <v>270</v>
      </c>
      <c r="D6" s="18">
        <f>SALES_FORECAST!D6*ASUMSI!D14</f>
        <v>312</v>
      </c>
      <c r="E6" s="18">
        <f>SALES_FORECAST!E6*ASUMSI!E14</f>
        <v>408</v>
      </c>
      <c r="F6" s="18">
        <f>SALES_FORECAST!F6*ASUMSI!F14</f>
        <v>432</v>
      </c>
      <c r="G6" s="18">
        <f>SALES_FORECAST!G6*ASUMSI!G14</f>
        <v>354</v>
      </c>
      <c r="H6" s="18">
        <f>SALES_FORECAST!H6*ASUMSI!H14</f>
        <v>324</v>
      </c>
      <c r="I6" s="17">
        <f t="shared" ref="I6:I13" si="0">SUM(C6:H6)</f>
        <v>2100</v>
      </c>
    </row>
    <row r="7" spans="2:9" x14ac:dyDescent="0.25">
      <c r="B7" s="3" t="s">
        <v>80</v>
      </c>
      <c r="C7" s="18">
        <f>ASUMSI!C25</f>
        <v>40</v>
      </c>
      <c r="D7" s="18">
        <f>C6*ASUMSI!D15</f>
        <v>270</v>
      </c>
      <c r="E7" s="18">
        <f>D6*ASUMSI!E15</f>
        <v>312</v>
      </c>
      <c r="F7" s="18">
        <f>E6*ASUMSI!F15</f>
        <v>408</v>
      </c>
      <c r="G7" s="18">
        <f>F6*ASUMSI!G15</f>
        <v>432</v>
      </c>
      <c r="H7" s="18">
        <f>G6*ASUMSI!H15</f>
        <v>354</v>
      </c>
      <c r="I7" s="17">
        <f t="shared" si="0"/>
        <v>1816</v>
      </c>
    </row>
    <row r="8" spans="2:9" x14ac:dyDescent="0.25">
      <c r="B8" s="3" t="s">
        <v>81</v>
      </c>
      <c r="C8" s="14">
        <v>85</v>
      </c>
      <c r="D8" s="14">
        <v>92</v>
      </c>
      <c r="E8" s="14">
        <v>105</v>
      </c>
      <c r="F8" s="14">
        <v>110</v>
      </c>
      <c r="G8" s="14">
        <v>98</v>
      </c>
      <c r="H8" s="14">
        <v>90</v>
      </c>
      <c r="I8" s="17">
        <f t="shared" si="0"/>
        <v>580</v>
      </c>
    </row>
    <row r="9" spans="2:9" x14ac:dyDescent="0.25">
      <c r="B9" s="3" t="s">
        <v>82</v>
      </c>
      <c r="C9" s="14">
        <v>28</v>
      </c>
      <c r="D9" s="14">
        <v>30</v>
      </c>
      <c r="E9" s="14">
        <v>34</v>
      </c>
      <c r="F9" s="14">
        <v>36</v>
      </c>
      <c r="G9" s="14">
        <v>32</v>
      </c>
      <c r="H9" s="14">
        <v>30</v>
      </c>
      <c r="I9" s="17">
        <f t="shared" si="0"/>
        <v>190</v>
      </c>
    </row>
    <row r="10" spans="2:9" x14ac:dyDescent="0.25">
      <c r="B10" s="3" t="s">
        <v>83</v>
      </c>
      <c r="C10" s="14">
        <v>10</v>
      </c>
      <c r="D10" s="14">
        <v>12</v>
      </c>
      <c r="E10" s="14">
        <v>15</v>
      </c>
      <c r="F10" s="14">
        <v>18</v>
      </c>
      <c r="G10" s="14">
        <v>12</v>
      </c>
      <c r="H10" s="14">
        <v>8</v>
      </c>
      <c r="I10" s="17">
        <f t="shared" si="0"/>
        <v>75</v>
      </c>
    </row>
    <row r="11" spans="2:9" x14ac:dyDescent="0.25">
      <c r="B11" s="3" t="s">
        <v>84</v>
      </c>
      <c r="C11" s="14">
        <v>0</v>
      </c>
      <c r="D11" s="14">
        <v>0</v>
      </c>
      <c r="E11" s="14">
        <v>0</v>
      </c>
      <c r="F11" s="14">
        <v>35</v>
      </c>
      <c r="G11" s="14">
        <v>0</v>
      </c>
      <c r="H11" s="14">
        <v>0</v>
      </c>
      <c r="I11" s="17">
        <f t="shared" si="0"/>
        <v>35</v>
      </c>
    </row>
    <row r="12" spans="2:9" x14ac:dyDescent="0.25">
      <c r="B12" s="3" t="s">
        <v>85</v>
      </c>
      <c r="C12" s="14">
        <v>0</v>
      </c>
      <c r="D12" s="14">
        <v>60</v>
      </c>
      <c r="E12" s="14">
        <v>0</v>
      </c>
      <c r="F12" s="14">
        <v>0</v>
      </c>
      <c r="G12" s="14">
        <v>0</v>
      </c>
      <c r="H12" s="14">
        <v>0</v>
      </c>
      <c r="I12" s="17">
        <f t="shared" si="0"/>
        <v>60</v>
      </c>
    </row>
    <row r="13" spans="2:9" x14ac:dyDescent="0.25">
      <c r="B13" s="12" t="s">
        <v>86</v>
      </c>
      <c r="C13" s="17">
        <f t="shared" ref="C13:H13" si="1">SUM(C7:C12)</f>
        <v>163</v>
      </c>
      <c r="D13" s="17">
        <f t="shared" si="1"/>
        <v>464</v>
      </c>
      <c r="E13" s="17">
        <f t="shared" si="1"/>
        <v>466</v>
      </c>
      <c r="F13" s="17">
        <f t="shared" si="1"/>
        <v>607</v>
      </c>
      <c r="G13" s="17">
        <f t="shared" si="1"/>
        <v>574</v>
      </c>
      <c r="H13" s="17">
        <f t="shared" si="1"/>
        <v>482</v>
      </c>
      <c r="I13" s="17">
        <f t="shared" si="0"/>
        <v>2756</v>
      </c>
    </row>
    <row r="15" spans="2:9" x14ac:dyDescent="0.25">
      <c r="B15" s="29" t="s">
        <v>87</v>
      </c>
      <c r="C15" s="28"/>
      <c r="D15" s="28"/>
      <c r="E15" s="28"/>
      <c r="F15" s="28"/>
      <c r="G15" s="28"/>
      <c r="H15" s="28"/>
      <c r="I15" s="28"/>
    </row>
  </sheetData>
  <mergeCells count="3">
    <mergeCell ref="B3:I3"/>
    <mergeCell ref="B2:I2"/>
    <mergeCell ref="B15:I15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I21"/>
  <sheetViews>
    <sheetView showGridLines="0" workbookViewId="0"/>
  </sheetViews>
  <sheetFormatPr defaultRowHeight="15" x14ac:dyDescent="0.25"/>
  <cols>
    <col min="1" max="1" width="3" customWidth="1"/>
    <col min="2" max="2" width="46" customWidth="1"/>
    <col min="3" max="8" width="13" customWidth="1"/>
    <col min="9" max="9" width="14" customWidth="1"/>
  </cols>
  <sheetData>
    <row r="2" spans="2:9" ht="27.95" customHeight="1" x14ac:dyDescent="0.25">
      <c r="B2" s="30" t="s">
        <v>88</v>
      </c>
      <c r="C2" s="28"/>
      <c r="D2" s="28"/>
      <c r="E2" s="28"/>
      <c r="F2" s="28"/>
      <c r="G2" s="28"/>
      <c r="H2" s="28"/>
      <c r="I2" s="28"/>
    </row>
    <row r="3" spans="2:9" x14ac:dyDescent="0.25">
      <c r="B3" s="27" t="s">
        <v>89</v>
      </c>
      <c r="C3" s="28"/>
      <c r="D3" s="28"/>
      <c r="E3" s="28"/>
      <c r="F3" s="28"/>
      <c r="G3" s="28"/>
      <c r="H3" s="28"/>
      <c r="I3" s="28"/>
    </row>
    <row r="5" spans="2:9" x14ac:dyDescent="0.25">
      <c r="B5" s="7" t="s">
        <v>90</v>
      </c>
      <c r="C5" s="7" t="s">
        <v>28</v>
      </c>
      <c r="D5" s="7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</row>
    <row r="6" spans="2:9" x14ac:dyDescent="0.25">
      <c r="B6" s="12" t="s">
        <v>91</v>
      </c>
      <c r="C6" s="19">
        <f>ASUMSI!C23</f>
        <v>60</v>
      </c>
      <c r="D6" s="19">
        <f>C18</f>
        <v>52</v>
      </c>
      <c r="E6" s="19">
        <f>D18</f>
        <v>52.760000000000005</v>
      </c>
      <c r="F6" s="19">
        <f>E18</f>
        <v>51.38000000000001</v>
      </c>
      <c r="G6" s="19">
        <f>F18</f>
        <v>53.94</v>
      </c>
      <c r="H6" s="19">
        <f>G18</f>
        <v>52.560000000000059</v>
      </c>
      <c r="I6" s="17">
        <f>C6</f>
        <v>60</v>
      </c>
    </row>
    <row r="7" spans="2:9" x14ac:dyDescent="0.25">
      <c r="B7" s="3" t="s">
        <v>92</v>
      </c>
      <c r="C7" s="18">
        <f>COLLECTIONS!C10</f>
        <v>135</v>
      </c>
      <c r="D7" s="18">
        <f>COLLECTIONS!D10</f>
        <v>320</v>
      </c>
      <c r="E7" s="18">
        <f>COLLECTIONS!E10</f>
        <v>511.6</v>
      </c>
      <c r="F7" s="18">
        <f>COLLECTIONS!F10</f>
        <v>616</v>
      </c>
      <c r="G7" s="18">
        <f>COLLECTIONS!G10</f>
        <v>654</v>
      </c>
      <c r="H7" s="18">
        <f>COLLECTIONS!H10</f>
        <v>592.79999999999995</v>
      </c>
      <c r="I7" s="17">
        <f>SUM(C7:H7)</f>
        <v>2829.3999999999996</v>
      </c>
    </row>
    <row r="8" spans="2:9" x14ac:dyDescent="0.25">
      <c r="B8" s="3" t="s">
        <v>93</v>
      </c>
      <c r="C8" s="18">
        <f>DISBURSEMENTS!C13</f>
        <v>163</v>
      </c>
      <c r="D8" s="18">
        <f>DISBURSEMENTS!D13</f>
        <v>464</v>
      </c>
      <c r="E8" s="18">
        <f>DISBURSEMENTS!E13</f>
        <v>466</v>
      </c>
      <c r="F8" s="18">
        <f>DISBURSEMENTS!F13</f>
        <v>607</v>
      </c>
      <c r="G8" s="18">
        <f>DISBURSEMENTS!G13</f>
        <v>574</v>
      </c>
      <c r="H8" s="18">
        <f>DISBURSEMENTS!H13</f>
        <v>482</v>
      </c>
      <c r="I8" s="17">
        <f>SUM(C8:H8)</f>
        <v>2756</v>
      </c>
    </row>
    <row r="9" spans="2:9" x14ac:dyDescent="0.25">
      <c r="B9" s="3" t="s">
        <v>94</v>
      </c>
      <c r="C9" s="18">
        <f>C14*ASUMSI!C19</f>
        <v>0</v>
      </c>
      <c r="D9" s="18">
        <f>D14*ASUMSI!D19</f>
        <v>0.24</v>
      </c>
      <c r="E9" s="18">
        <f>E14*ASUMSI!E19</f>
        <v>1.98</v>
      </c>
      <c r="F9" s="18">
        <f>F14*ASUMSI!F19</f>
        <v>1.44</v>
      </c>
      <c r="G9" s="18">
        <f>G14*ASUMSI!G19</f>
        <v>1.3800000000000001</v>
      </c>
      <c r="H9" s="18">
        <f>H14*ASUMSI!H19</f>
        <v>0.42</v>
      </c>
      <c r="I9" s="17">
        <f>SUM(C9:H9)</f>
        <v>5.46</v>
      </c>
    </row>
    <row r="10" spans="2:9" x14ac:dyDescent="0.25">
      <c r="B10" s="12" t="s">
        <v>95</v>
      </c>
      <c r="C10" s="20">
        <f t="shared" ref="C10:H10" si="0">C6+C7-C8-C9</f>
        <v>32</v>
      </c>
      <c r="D10" s="20">
        <f t="shared" si="0"/>
        <v>-92.24</v>
      </c>
      <c r="E10" s="20">
        <f t="shared" si="0"/>
        <v>96.38000000000001</v>
      </c>
      <c r="F10" s="20">
        <f t="shared" si="0"/>
        <v>58.94</v>
      </c>
      <c r="G10" s="20">
        <f t="shared" si="0"/>
        <v>132.56000000000006</v>
      </c>
      <c r="H10" s="20">
        <f t="shared" si="0"/>
        <v>162.94000000000003</v>
      </c>
      <c r="I10" s="17">
        <f>H10</f>
        <v>162.94000000000003</v>
      </c>
    </row>
    <row r="11" spans="2:9" x14ac:dyDescent="0.25">
      <c r="B11" s="3" t="s">
        <v>96</v>
      </c>
      <c r="C11" s="18">
        <f>ASUMSI!C18</f>
        <v>50</v>
      </c>
      <c r="D11" s="18">
        <f>ASUMSI!D18</f>
        <v>50</v>
      </c>
      <c r="E11" s="18">
        <f>ASUMSI!E18</f>
        <v>50</v>
      </c>
      <c r="F11" s="18">
        <f>ASUMSI!F18</f>
        <v>50</v>
      </c>
      <c r="G11" s="18">
        <f>ASUMSI!G18</f>
        <v>50</v>
      </c>
      <c r="H11" s="18">
        <f>ASUMSI!H18</f>
        <v>50</v>
      </c>
      <c r="I11" s="19">
        <f>AVERAGE(C11:H11)</f>
        <v>50</v>
      </c>
    </row>
    <row r="12" spans="2:9" x14ac:dyDescent="0.25">
      <c r="B12" s="12" t="s">
        <v>97</v>
      </c>
      <c r="C12" s="19">
        <f t="shared" ref="C12:H12" si="1">C10-C11</f>
        <v>-18</v>
      </c>
      <c r="D12" s="19">
        <f t="shared" si="1"/>
        <v>-142.24</v>
      </c>
      <c r="E12" s="19">
        <f t="shared" si="1"/>
        <v>46.38000000000001</v>
      </c>
      <c r="F12" s="19">
        <f t="shared" si="1"/>
        <v>8.9399999999999977</v>
      </c>
      <c r="G12" s="19">
        <f t="shared" si="1"/>
        <v>82.560000000000059</v>
      </c>
      <c r="H12" s="19">
        <f t="shared" si="1"/>
        <v>112.94000000000003</v>
      </c>
      <c r="I12" s="19">
        <f>SUM(C12:H12)</f>
        <v>90.580000000000084</v>
      </c>
    </row>
    <row r="13" spans="2:9" x14ac:dyDescent="0.25">
      <c r="B13" s="8" t="s">
        <v>98</v>
      </c>
      <c r="C13" s="9"/>
      <c r="D13" s="9"/>
      <c r="E13" s="9"/>
      <c r="F13" s="9"/>
      <c r="G13" s="9"/>
      <c r="H13" s="9"/>
      <c r="I13" s="9"/>
    </row>
    <row r="14" spans="2:9" x14ac:dyDescent="0.25">
      <c r="B14" s="3" t="s">
        <v>99</v>
      </c>
      <c r="C14" s="18">
        <v>0</v>
      </c>
      <c r="D14" s="18">
        <f>C17</f>
        <v>20</v>
      </c>
      <c r="E14" s="18">
        <f>D17</f>
        <v>165</v>
      </c>
      <c r="F14" s="18">
        <f>E17</f>
        <v>120</v>
      </c>
      <c r="G14" s="18">
        <f>F17</f>
        <v>115</v>
      </c>
      <c r="H14" s="18">
        <f>G17</f>
        <v>35</v>
      </c>
      <c r="I14" s="21">
        <f>H14</f>
        <v>35</v>
      </c>
    </row>
    <row r="15" spans="2:9" x14ac:dyDescent="0.25">
      <c r="B15" s="3" t="s">
        <v>100</v>
      </c>
      <c r="C15" s="22">
        <f>IF(C12&lt;0,CEILING(-C12,ASUMSI!C20),0)</f>
        <v>20</v>
      </c>
      <c r="D15" s="22">
        <f>IF(D12&lt;0,CEILING(-D12,ASUMSI!D20),0)</f>
        <v>145</v>
      </c>
      <c r="E15" s="22">
        <f>IF(E12&lt;0,CEILING(-E12,ASUMSI!E20),0)</f>
        <v>0</v>
      </c>
      <c r="F15" s="22">
        <f>IF(F12&lt;0,CEILING(-F12,ASUMSI!F20),0)</f>
        <v>0</v>
      </c>
      <c r="G15" s="22">
        <f>IF(G12&lt;0,CEILING(-G12,ASUMSI!G20),0)</f>
        <v>0</v>
      </c>
      <c r="H15" s="22">
        <f>IF(H12&lt;0,CEILING(-H12,ASUMSI!H20),0)</f>
        <v>0</v>
      </c>
      <c r="I15" s="17">
        <f>SUM(C15:H15)</f>
        <v>165</v>
      </c>
    </row>
    <row r="16" spans="2:9" x14ac:dyDescent="0.25">
      <c r="B16" s="3" t="s">
        <v>101</v>
      </c>
      <c r="C16" s="22">
        <f>IF(C12&gt;0,FLOOR(MIN(C12,C14),ASUMSI!C20),0)</f>
        <v>0</v>
      </c>
      <c r="D16" s="22">
        <f>IF(D12&gt;0,FLOOR(MIN(D12,D14),ASUMSI!D20),0)</f>
        <v>0</v>
      </c>
      <c r="E16" s="22">
        <f>IF(E12&gt;0,FLOOR(MIN(E12,E14),ASUMSI!E20),0)</f>
        <v>45</v>
      </c>
      <c r="F16" s="22">
        <f>IF(F12&gt;0,FLOOR(MIN(F12,F14),ASUMSI!F20),0)</f>
        <v>5</v>
      </c>
      <c r="G16" s="22">
        <f>IF(G12&gt;0,FLOOR(MIN(G12,G14),ASUMSI!G20),0)</f>
        <v>80</v>
      </c>
      <c r="H16" s="22">
        <f>IF(H12&gt;0,FLOOR(MIN(H12,H14),ASUMSI!H20),0)</f>
        <v>35</v>
      </c>
      <c r="I16" s="17">
        <f>SUM(C16:H16)</f>
        <v>165</v>
      </c>
    </row>
    <row r="17" spans="2:9" x14ac:dyDescent="0.25">
      <c r="B17" s="3" t="s">
        <v>102</v>
      </c>
      <c r="C17" s="18">
        <f t="shared" ref="C17:H17" si="2">C14+C15-C16</f>
        <v>20</v>
      </c>
      <c r="D17" s="18">
        <f t="shared" si="2"/>
        <v>165</v>
      </c>
      <c r="E17" s="18">
        <f t="shared" si="2"/>
        <v>120</v>
      </c>
      <c r="F17" s="18">
        <f t="shared" si="2"/>
        <v>115</v>
      </c>
      <c r="G17" s="18">
        <f t="shared" si="2"/>
        <v>35</v>
      </c>
      <c r="H17" s="18">
        <f t="shared" si="2"/>
        <v>0</v>
      </c>
      <c r="I17" s="17">
        <f>H17</f>
        <v>0</v>
      </c>
    </row>
    <row r="18" spans="2:9" x14ac:dyDescent="0.25">
      <c r="B18" s="12" t="s">
        <v>103</v>
      </c>
      <c r="C18" s="17">
        <f t="shared" ref="C18:H18" si="3">C10+C15-C16</f>
        <v>52</v>
      </c>
      <c r="D18" s="17">
        <f t="shared" si="3"/>
        <v>52.760000000000005</v>
      </c>
      <c r="E18" s="17">
        <f t="shared" si="3"/>
        <v>51.38000000000001</v>
      </c>
      <c r="F18" s="17">
        <f t="shared" si="3"/>
        <v>53.94</v>
      </c>
      <c r="G18" s="17">
        <f t="shared" si="3"/>
        <v>52.560000000000059</v>
      </c>
      <c r="H18" s="17">
        <f t="shared" si="3"/>
        <v>127.94000000000003</v>
      </c>
      <c r="I18" s="17">
        <f>H18</f>
        <v>127.94000000000003</v>
      </c>
    </row>
    <row r="19" spans="2:9" x14ac:dyDescent="0.25">
      <c r="B19" s="12" t="s">
        <v>104</v>
      </c>
      <c r="C19" s="23" t="str">
        <f t="shared" ref="C19:H19" si="4">IF(C18&gt;=C11-0.001,"OK","CEK!")</f>
        <v>OK</v>
      </c>
      <c r="D19" s="23" t="str">
        <f t="shared" si="4"/>
        <v>OK</v>
      </c>
      <c r="E19" s="23" t="str">
        <f t="shared" si="4"/>
        <v>OK</v>
      </c>
      <c r="F19" s="23" t="str">
        <f t="shared" si="4"/>
        <v>OK</v>
      </c>
      <c r="G19" s="23" t="str">
        <f t="shared" si="4"/>
        <v>OK</v>
      </c>
      <c r="H19" s="23" t="str">
        <f t="shared" si="4"/>
        <v>OK</v>
      </c>
    </row>
    <row r="21" spans="2:9" x14ac:dyDescent="0.25">
      <c r="B21" s="29" t="s">
        <v>105</v>
      </c>
      <c r="C21" s="28"/>
      <c r="D21" s="28"/>
      <c r="E21" s="28"/>
      <c r="F21" s="28"/>
      <c r="G21" s="28"/>
      <c r="H21" s="28"/>
      <c r="I21" s="28"/>
    </row>
  </sheetData>
  <mergeCells count="3">
    <mergeCell ref="B3:I3"/>
    <mergeCell ref="B21:I21"/>
    <mergeCell ref="B2:I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I18"/>
  <sheetViews>
    <sheetView showGridLines="0" workbookViewId="0"/>
  </sheetViews>
  <sheetFormatPr defaultRowHeight="15" x14ac:dyDescent="0.25"/>
  <cols>
    <col min="1" max="1" width="3" customWidth="1"/>
    <col min="2" max="2" width="38" customWidth="1"/>
    <col min="3" max="8" width="13" customWidth="1"/>
    <col min="9" max="9" width="14" customWidth="1"/>
  </cols>
  <sheetData>
    <row r="2" spans="2:9" ht="27.95" customHeight="1" x14ac:dyDescent="0.25">
      <c r="B2" s="30" t="s">
        <v>106</v>
      </c>
      <c r="C2" s="28"/>
      <c r="D2" s="28"/>
      <c r="E2" s="28"/>
      <c r="F2" s="28"/>
      <c r="G2" s="28"/>
      <c r="H2" s="28"/>
      <c r="I2" s="28"/>
    </row>
    <row r="3" spans="2:9" x14ac:dyDescent="0.25">
      <c r="B3" s="27" t="s">
        <v>107</v>
      </c>
      <c r="C3" s="28"/>
      <c r="D3" s="28"/>
      <c r="E3" s="28"/>
      <c r="F3" s="28"/>
      <c r="G3" s="28"/>
      <c r="H3" s="28"/>
      <c r="I3" s="28"/>
    </row>
    <row r="5" spans="2:9" x14ac:dyDescent="0.25">
      <c r="B5" s="7" t="s">
        <v>108</v>
      </c>
      <c r="C5" s="7" t="s">
        <v>28</v>
      </c>
      <c r="D5" s="7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</row>
    <row r="6" spans="2:9" x14ac:dyDescent="0.25">
      <c r="B6" s="3" t="s">
        <v>109</v>
      </c>
      <c r="C6" s="18">
        <f>COLLECTIONS!C10</f>
        <v>135</v>
      </c>
      <c r="D6" s="18">
        <f>COLLECTIONS!D10</f>
        <v>320</v>
      </c>
      <c r="E6" s="18">
        <f>COLLECTIONS!E10</f>
        <v>511.6</v>
      </c>
      <c r="F6" s="18">
        <f>COLLECTIONS!F10</f>
        <v>616</v>
      </c>
      <c r="G6" s="18">
        <f>COLLECTIONS!G10</f>
        <v>654</v>
      </c>
      <c r="H6" s="18">
        <f>COLLECTIONS!H10</f>
        <v>592.79999999999995</v>
      </c>
      <c r="I6" s="17">
        <f>SUM(C6:H6)</f>
        <v>2829.3999999999996</v>
      </c>
    </row>
    <row r="7" spans="2:9" x14ac:dyDescent="0.25">
      <c r="B7" s="3" t="s">
        <v>110</v>
      </c>
      <c r="C7" s="18">
        <f>DISBURSEMENTS!C13</f>
        <v>163</v>
      </c>
      <c r="D7" s="18">
        <f>DISBURSEMENTS!D13</f>
        <v>464</v>
      </c>
      <c r="E7" s="18">
        <f>DISBURSEMENTS!E13</f>
        <v>466</v>
      </c>
      <c r="F7" s="18">
        <f>DISBURSEMENTS!F13</f>
        <v>607</v>
      </c>
      <c r="G7" s="18">
        <f>DISBURSEMENTS!G13</f>
        <v>574</v>
      </c>
      <c r="H7" s="18">
        <f>DISBURSEMENTS!H13</f>
        <v>482</v>
      </c>
      <c r="I7" s="17">
        <f>SUM(C7:H7)</f>
        <v>2756</v>
      </c>
    </row>
    <row r="8" spans="2:9" x14ac:dyDescent="0.25">
      <c r="B8" s="3" t="s">
        <v>111</v>
      </c>
      <c r="C8" s="18">
        <f>CASH_BUDGET!C9</f>
        <v>0</v>
      </c>
      <c r="D8" s="18">
        <f>CASH_BUDGET!D9</f>
        <v>0.24</v>
      </c>
      <c r="E8" s="18">
        <f>CASH_BUDGET!E9</f>
        <v>1.98</v>
      </c>
      <c r="F8" s="18">
        <f>CASH_BUDGET!F9</f>
        <v>1.44</v>
      </c>
      <c r="G8" s="18">
        <f>CASH_BUDGET!G9</f>
        <v>1.3800000000000001</v>
      </c>
      <c r="H8" s="18">
        <f>CASH_BUDGET!H9</f>
        <v>0.42</v>
      </c>
      <c r="I8" s="17">
        <f>SUM(C8:H8)</f>
        <v>5.46</v>
      </c>
    </row>
    <row r="9" spans="2:9" x14ac:dyDescent="0.25">
      <c r="B9" s="3" t="s">
        <v>112</v>
      </c>
      <c r="C9" s="18">
        <f>CASH_BUDGET!C15</f>
        <v>20</v>
      </c>
      <c r="D9" s="18">
        <f>CASH_BUDGET!D15</f>
        <v>145</v>
      </c>
      <c r="E9" s="18">
        <f>CASH_BUDGET!E15</f>
        <v>0</v>
      </c>
      <c r="F9" s="18">
        <f>CASH_BUDGET!F15</f>
        <v>0</v>
      </c>
      <c r="G9" s="18">
        <f>CASH_BUDGET!G15</f>
        <v>0</v>
      </c>
      <c r="H9" s="18">
        <f>CASH_BUDGET!H15</f>
        <v>0</v>
      </c>
      <c r="I9" s="17">
        <f>SUM(C9:H9)</f>
        <v>165</v>
      </c>
    </row>
    <row r="10" spans="2:9" x14ac:dyDescent="0.25">
      <c r="B10" s="3" t="s">
        <v>113</v>
      </c>
      <c r="C10" s="18">
        <f>CASH_BUDGET!C16</f>
        <v>0</v>
      </c>
      <c r="D10" s="18">
        <f>CASH_BUDGET!D16</f>
        <v>0</v>
      </c>
      <c r="E10" s="18">
        <f>CASH_BUDGET!E16</f>
        <v>45</v>
      </c>
      <c r="F10" s="18">
        <f>CASH_BUDGET!F16</f>
        <v>5</v>
      </c>
      <c r="G10" s="18">
        <f>CASH_BUDGET!G16</f>
        <v>80</v>
      </c>
      <c r="H10" s="18">
        <f>CASH_BUDGET!H16</f>
        <v>35</v>
      </c>
      <c r="I10" s="17">
        <f>SUM(C10:H10)</f>
        <v>165</v>
      </c>
    </row>
    <row r="11" spans="2:9" x14ac:dyDescent="0.25">
      <c r="B11" s="3" t="s">
        <v>114</v>
      </c>
      <c r="C11" s="18">
        <f>CASH_BUDGET!C17</f>
        <v>20</v>
      </c>
      <c r="D11" s="18">
        <f>CASH_BUDGET!D17</f>
        <v>165</v>
      </c>
      <c r="E11" s="18">
        <f>CASH_BUDGET!E17</f>
        <v>120</v>
      </c>
      <c r="F11" s="18">
        <f>CASH_BUDGET!F17</f>
        <v>115</v>
      </c>
      <c r="G11" s="18">
        <f>CASH_BUDGET!G17</f>
        <v>35</v>
      </c>
      <c r="H11" s="18">
        <f>CASH_BUDGET!H17</f>
        <v>0</v>
      </c>
      <c r="I11" s="17">
        <f>H11</f>
        <v>0</v>
      </c>
    </row>
    <row r="12" spans="2:9" x14ac:dyDescent="0.25">
      <c r="B12" s="12" t="s">
        <v>115</v>
      </c>
      <c r="C12" s="19">
        <f>CASH_BUDGET!C18-CASH_BUDGET!C6</f>
        <v>-8</v>
      </c>
      <c r="D12" s="19">
        <f>CASH_BUDGET!D18-CASH_BUDGET!D6</f>
        <v>0.76000000000000512</v>
      </c>
      <c r="E12" s="19">
        <f>CASH_BUDGET!E18-CASH_BUDGET!E6</f>
        <v>-1.3799999999999955</v>
      </c>
      <c r="F12" s="19">
        <f>CASH_BUDGET!F18-CASH_BUDGET!F6</f>
        <v>2.5599999999999881</v>
      </c>
      <c r="G12" s="19">
        <f>CASH_BUDGET!G18-CASH_BUDGET!G6</f>
        <v>-1.3799999999999386</v>
      </c>
      <c r="H12" s="19">
        <f>CASH_BUDGET!H18-CASH_BUDGET!H6</f>
        <v>75.379999999999967</v>
      </c>
      <c r="I12" s="17">
        <f>CASH_BUDGET!H18-ASUMSI!C23</f>
        <v>67.940000000000026</v>
      </c>
    </row>
    <row r="13" spans="2:9" x14ac:dyDescent="0.25">
      <c r="B13" s="12" t="s">
        <v>116</v>
      </c>
      <c r="C13" s="17">
        <f>CASH_BUDGET!C18</f>
        <v>52</v>
      </c>
      <c r="D13" s="17">
        <f>CASH_BUDGET!D18</f>
        <v>52.760000000000005</v>
      </c>
      <c r="E13" s="17">
        <f>CASH_BUDGET!E18</f>
        <v>51.38000000000001</v>
      </c>
      <c r="F13" s="17">
        <f>CASH_BUDGET!F18</f>
        <v>53.94</v>
      </c>
      <c r="G13" s="17">
        <f>CASH_BUDGET!G18</f>
        <v>52.560000000000059</v>
      </c>
      <c r="H13" s="17">
        <f>CASH_BUDGET!H18</f>
        <v>127.94000000000003</v>
      </c>
      <c r="I13" s="17">
        <f>H13</f>
        <v>127.94000000000003</v>
      </c>
    </row>
    <row r="14" spans="2:9" x14ac:dyDescent="0.25">
      <c r="B14" s="3" t="s">
        <v>96</v>
      </c>
      <c r="C14" s="18">
        <f>CASH_BUDGET!C11</f>
        <v>50</v>
      </c>
      <c r="D14" s="18">
        <f>CASH_BUDGET!D11</f>
        <v>50</v>
      </c>
      <c r="E14" s="18">
        <f>CASH_BUDGET!E11</f>
        <v>50</v>
      </c>
      <c r="F14" s="18">
        <f>CASH_BUDGET!F11</f>
        <v>50</v>
      </c>
      <c r="G14" s="18">
        <f>CASH_BUDGET!G11</f>
        <v>50</v>
      </c>
      <c r="H14" s="18">
        <f>CASH_BUDGET!H11</f>
        <v>50</v>
      </c>
      <c r="I14" s="19">
        <f>AVERAGE(C14:H14)</f>
        <v>50</v>
      </c>
    </row>
    <row r="16" spans="2:9" x14ac:dyDescent="0.25">
      <c r="B16" s="8" t="s">
        <v>117</v>
      </c>
      <c r="C16" s="9"/>
      <c r="D16" s="9"/>
      <c r="E16" s="9"/>
      <c r="F16" s="9"/>
      <c r="G16" s="9"/>
      <c r="H16" s="9"/>
      <c r="I16" s="9"/>
    </row>
    <row r="17" spans="2:9" x14ac:dyDescent="0.25">
      <c r="B17" s="3" t="s">
        <v>118</v>
      </c>
      <c r="C17" s="24">
        <f>IF(SALES_FORECAST!C6=0,0,COLLECTIONS!C10/SALES_FORECAST!C6)</f>
        <v>0.3</v>
      </c>
      <c r="D17" s="24">
        <f>IF(SALES_FORECAST!D6=0,0,COLLECTIONS!D10/SALES_FORECAST!D6)</f>
        <v>0.61538461538461542</v>
      </c>
      <c r="E17" s="24">
        <f>IF(SALES_FORECAST!E6=0,0,COLLECTIONS!E10/SALES_FORECAST!E6)</f>
        <v>0.75235294117647067</v>
      </c>
      <c r="F17" s="24">
        <f>IF(SALES_FORECAST!F6=0,0,COLLECTIONS!F10/SALES_FORECAST!F6)</f>
        <v>0.85555555555555551</v>
      </c>
      <c r="G17" s="24">
        <f>IF(SALES_FORECAST!G6=0,0,COLLECTIONS!G10/SALES_FORECAST!G6)</f>
        <v>1.1084745762711865</v>
      </c>
      <c r="H17" s="24">
        <f>IF(SALES_FORECAST!H6=0,0,COLLECTIONS!H10/SALES_FORECAST!H6)</f>
        <v>1.0977777777777777</v>
      </c>
      <c r="I17" s="13">
        <f>IF(I6=0,0,I6/SALES_FORECAST!I6)</f>
        <v>0.8083999999999999</v>
      </c>
    </row>
    <row r="18" spans="2:9" x14ac:dyDescent="0.25">
      <c r="B18" s="3" t="s">
        <v>119</v>
      </c>
      <c r="C18" s="25">
        <f t="shared" ref="C18:H18" si="0">IF(C14=0,0,C13/C14)</f>
        <v>1.04</v>
      </c>
      <c r="D18" s="25">
        <f t="shared" si="0"/>
        <v>1.0552000000000001</v>
      </c>
      <c r="E18" s="25">
        <f t="shared" si="0"/>
        <v>1.0276000000000003</v>
      </c>
      <c r="F18" s="25">
        <f t="shared" si="0"/>
        <v>1.0788</v>
      </c>
      <c r="G18" s="25">
        <f t="shared" si="0"/>
        <v>1.0512000000000012</v>
      </c>
      <c r="H18" s="25">
        <f t="shared" si="0"/>
        <v>2.5588000000000006</v>
      </c>
      <c r="I18" s="26">
        <f>IF(I14=0,0,H13/I14)</f>
        <v>2.5588000000000006</v>
      </c>
    </row>
  </sheetData>
  <mergeCells count="2">
    <mergeCell ref="B3:I3"/>
    <mergeCell ref="B2:I2"/>
  </mergeCell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F11"/>
  <sheetViews>
    <sheetView showGridLines="0" workbookViewId="0"/>
  </sheetViews>
  <sheetFormatPr defaultRowHeight="15" x14ac:dyDescent="0.25"/>
  <cols>
    <col min="1" max="1" width="3" customWidth="1"/>
    <col min="2" max="2" width="56" customWidth="1"/>
    <col min="3" max="6" width="16" customWidth="1"/>
  </cols>
  <sheetData>
    <row r="2" spans="2:6" ht="27.95" customHeight="1" x14ac:dyDescent="0.25">
      <c r="B2" s="30" t="s">
        <v>120</v>
      </c>
      <c r="C2" s="28"/>
      <c r="D2" s="28"/>
      <c r="E2" s="28"/>
      <c r="F2" s="28"/>
    </row>
    <row r="3" spans="2:6" x14ac:dyDescent="0.25">
      <c r="B3" s="27" t="s">
        <v>121</v>
      </c>
      <c r="C3" s="28"/>
      <c r="D3" s="28"/>
      <c r="E3" s="28"/>
      <c r="F3" s="28"/>
    </row>
    <row r="5" spans="2:6" x14ac:dyDescent="0.25">
      <c r="B5" s="7" t="s">
        <v>122</v>
      </c>
      <c r="C5" s="7" t="s">
        <v>123</v>
      </c>
      <c r="D5" s="7" t="s">
        <v>124</v>
      </c>
      <c r="E5" s="7" t="s">
        <v>125</v>
      </c>
      <c r="F5" s="7" t="s">
        <v>126</v>
      </c>
    </row>
    <row r="6" spans="2:6" ht="30" x14ac:dyDescent="0.25">
      <c r="B6" s="3" t="s">
        <v>127</v>
      </c>
      <c r="C6" s="18">
        <f>CASH_BUDGET!H18</f>
        <v>127.94000000000003</v>
      </c>
      <c r="D6" s="18">
        <f>ASUMSI!C23+COLLECTIONS!I10+CASH_BUDGET!I15-CASH_BUDGET!I16-DISBURSEMENTS!I13-CASH_BUDGET!I9</f>
        <v>127.93999999999964</v>
      </c>
      <c r="E6" s="18">
        <f>C6-D6</f>
        <v>3.836930773104541E-13</v>
      </c>
      <c r="F6" s="23" t="str">
        <f>IF(ABS(E6)&lt;0.5,"OK","CEK!")</f>
        <v>OK</v>
      </c>
    </row>
    <row r="7" spans="2:6" x14ac:dyDescent="0.25">
      <c r="B7" s="3" t="s">
        <v>128</v>
      </c>
      <c r="C7" s="18">
        <f>CASH_BUDGET!I15</f>
        <v>165</v>
      </c>
      <c r="D7" s="18">
        <f>CASH_BUDGET!I16+CASH_BUDGET!H17</f>
        <v>165</v>
      </c>
      <c r="E7" s="18">
        <f>C7-D7</f>
        <v>0</v>
      </c>
      <c r="F7" s="23" t="str">
        <f>IF(ABS(E7)&lt;0.5,"OK","CEK!")</f>
        <v>OK</v>
      </c>
    </row>
    <row r="8" spans="2:6" x14ac:dyDescent="0.25">
      <c r="B8" s="3" t="s">
        <v>129</v>
      </c>
      <c r="C8" s="18">
        <f>MIN(CASH_BUDGET!C18:H18-CASH_BUDGET!C11:H11)</f>
        <v>2</v>
      </c>
      <c r="D8" s="18">
        <v>0</v>
      </c>
      <c r="E8" s="18">
        <f>C8-D8</f>
        <v>2</v>
      </c>
      <c r="F8" s="23" t="str">
        <f>IF(C8&gt;=0-0.001,"OK","CEK!")</f>
        <v>OK</v>
      </c>
    </row>
    <row r="9" spans="2:6" x14ac:dyDescent="0.25">
      <c r="B9" s="3" t="s">
        <v>130</v>
      </c>
      <c r="C9" s="18">
        <f>MIN(CASH_BUDGET!C17:H17)</f>
        <v>0</v>
      </c>
      <c r="D9" s="18">
        <v>0</v>
      </c>
      <c r="E9" s="18">
        <f>C9-D9</f>
        <v>0</v>
      </c>
      <c r="F9" s="23" t="str">
        <f>IF(C9&gt;=0-0.001,"OK","CEK!")</f>
        <v>OK</v>
      </c>
    </row>
    <row r="11" spans="2:6" x14ac:dyDescent="0.25">
      <c r="B11" s="29" t="s">
        <v>131</v>
      </c>
      <c r="C11" s="28"/>
      <c r="D11" s="28"/>
      <c r="E11" s="28"/>
      <c r="F11" s="28"/>
    </row>
  </sheetData>
  <mergeCells count="3">
    <mergeCell ref="B2:F2"/>
    <mergeCell ref="B11:F11"/>
    <mergeCell ref="B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PETUNJUK</vt:lpstr>
      <vt:lpstr>ASUMSI</vt:lpstr>
      <vt:lpstr>SALES_FORECAST</vt:lpstr>
      <vt:lpstr>COLLECTIONS</vt:lpstr>
      <vt:lpstr>DISBURSEMENTS</vt:lpstr>
      <vt:lpstr>CASH_BUDGET</vt:lpstr>
      <vt:lpstr>RINGKASAN</vt:lpstr>
      <vt:lpstr>CEK_KONSISTENSI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2026-07-18T18:09:22Z</dcterms:created>
  <dcterms:modified xsi:type="dcterms:W3CDTF">2026-07-18T18:14:24Z</dcterms:modified>
</cp:coreProperties>
</file>