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e00bf8c8dc2a59fb/Claude/Personal/atlas/05-Tech/stdsquare-hugo/static/excel/"/>
    </mc:Choice>
  </mc:AlternateContent>
  <xr:revisionPtr revIDLastSave="0" documentId="11_2843F8E71B02A48D56EC1FDB5991BCB3D0084CDA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2" i="2" l="1"/>
  <c r="C81" i="2"/>
  <c r="C80" i="2"/>
  <c r="C72" i="2"/>
  <c r="C69" i="2"/>
  <c r="C65" i="2"/>
  <c r="C66" i="2" s="1"/>
  <c r="C64" i="2"/>
  <c r="C51" i="2"/>
  <c r="C46" i="2"/>
  <c r="C45" i="2"/>
  <c r="C44" i="2"/>
  <c r="C43" i="2"/>
  <c r="C29" i="2"/>
  <c r="C28" i="2"/>
  <c r="C32" i="2" s="1"/>
  <c r="C27" i="2"/>
  <c r="C30" i="2" s="1"/>
  <c r="C31" i="2" s="1"/>
  <c r="C19" i="2"/>
  <c r="C20" i="2" s="1"/>
  <c r="C21" i="2" s="1"/>
  <c r="C16" i="2"/>
  <c r="C18" i="2" s="1"/>
  <c r="C15" i="2"/>
  <c r="C17" i="2" s="1"/>
  <c r="C22" i="2" s="1"/>
  <c r="C47" i="2" l="1"/>
  <c r="C49" i="2" s="1"/>
  <c r="C52" i="2" s="1"/>
  <c r="C83" i="2"/>
  <c r="C23" i="2"/>
  <c r="C24" i="2" s="1"/>
  <c r="C33" i="2"/>
  <c r="C48" i="2"/>
  <c r="C50" i="2" s="1"/>
  <c r="C53" i="2" s="1"/>
  <c r="C68" i="2"/>
  <c r="C70" i="2" s="1"/>
  <c r="C54" i="2" l="1"/>
  <c r="C55" i="2" s="1"/>
</calcChain>
</file>

<file path=xl/sharedStrings.xml><?xml version="1.0" encoding="utf-8"?>
<sst xmlns="http://schemas.openxmlformats.org/spreadsheetml/2006/main" count="168" uniqueCount="162">
  <si>
    <t>BLACK-SCHOLES STEP-BY-STEP vs PENDEKATAN MACHINE LEARNING</t>
  </si>
  <si>
    <t>Binomial 1 &amp; 2 periode + rumus tertutup BSM + regresi proxy-ML</t>
  </si>
  <si>
    <t>SUMBER DECK PERUJUK</t>
  </si>
  <si>
    <t>pertemuan-09.md (excel_file: black-scholes-vs-ml.xlsx)</t>
  </si>
  <si>
    <t>ISI &amp; CARA PAKAI</t>
  </si>
  <si>
    <t>Ubah sel KUNING MUDA di sheet Kalkulasi — semua formula menghitung ulang otomatis.</t>
  </si>
  <si>
    <t>1. Binomial 1-periode (HDN-1)</t>
  </si>
  <si>
    <t>S0=100, u=1,1, d=0,9, K=100, r=5% → q=0,75; C0 ≈ 7,14; replikasi Δ=0,5.</t>
  </si>
  <si>
    <t>2. Binomial 2-periode (HDN-2)</t>
  </si>
  <si>
    <t>Suu=121, Sud=99, Sdd=81 → backward induction → C0 ≈ 10,71.</t>
  </si>
  <si>
    <t>3. Black-Scholes</t>
  </si>
  <si>
    <t>C = S·N(d1) − K·e^(−rT)·N(d2); d1/d2 dihitung BERTAHAP dengan =NORM.S.DIST(z,TRUE).</t>
  </si>
  <si>
    <t>4. Proxy ML</t>
  </si>
  <si>
    <t>Regresi linier premi pasar vs σ (=SLOPE/=INTERCEPT) → bandingkan prediksi ML vs BS.</t>
  </si>
  <si>
    <t>5. Latihan P09</t>
  </si>
  <si>
    <t>S0=50, u=1,2, d=0,8, K=55, r=4% → hitung C0 dan verifikasi replikasi.</t>
  </si>
  <si>
    <t>ANGKA KUNCI (SESUAI DECK)</t>
  </si>
  <si>
    <t>Angka contoh identik dengan latihan/HDN di deck.</t>
  </si>
  <si>
    <t>•</t>
  </si>
  <si>
    <t>q = (1+r−d)/(u−d) = (1,05−0,9)/(1,1−0,9) = 0,75; C0 = (0,75×10)/1,05 ≈ 7,14.</t>
  </si>
  <si>
    <t>2 periode: node atas 15 → C0 = (0,75×15)/1,05 ≈ 10,71 (lebih tinggi dari 1 periode).</t>
  </si>
  <si>
    <t>BS (S=K=100, r=5%, T=1, σ=18%): d1 ≈ 0,368; N(d1) ≈ 0,643; C ≈ 9,7 (σ implied 22% → C ≈ 11,2).</t>
  </si>
  <si>
    <t>Mini-kasus treasury P09: quote bank premi ~1,8%; implied vol 22% vs historis 18% → negotiating leverage.</t>
  </si>
  <si>
    <t>ML proxy menangkap tren monotonic premi vs σ; error kecil in-sample, tanpa struktur probabilistik BSM.</t>
  </si>
  <si>
    <t>LEGENDA WARNA</t>
  </si>
  <si>
    <t>Input manual — ubah sesuai kasus Anda.</t>
  </si>
  <si>
    <t>Input (kuning muda)</t>
  </si>
  <si>
    <t>Sel input: teks biru tua, latar kuning muda.</t>
  </si>
  <si>
    <t>Formula hidup</t>
  </si>
  <si>
    <t>Sel hitam = rumus Excel aktif (jangan diketik ulang).</t>
  </si>
  <si>
    <t>Output (hijau, berborder)</t>
  </si>
  <si>
    <t>Hasil kunci per blok perhitungan.</t>
  </si>
  <si>
    <t>N(d1), N(d2) = probabilitas RISK-NEUTRAL — bukan probabilitas profit dunia nyata.</t>
  </si>
  <si>
    <t>Regresi linier dipakai sebagai proxy ML paling sederhana (transparan); model nyata: random forest / neural net.</t>
  </si>
  <si>
    <t>KALKULASI — BINOMIAL, BLACK-SCHOLES, DAN PROXY ML</t>
  </si>
  <si>
    <t>Semua langkah d1/d2 dihitung bertahap. Sel C = formula hidup.</t>
  </si>
  <si>
    <t>INPUT — BINOMIAL (HDN-1 P09)</t>
  </si>
  <si>
    <t>Harga awal S0</t>
  </si>
  <si>
    <t>indeks</t>
  </si>
  <si>
    <t>Faktor naik (u)</t>
  </si>
  <si>
    <t>S naik 10%</t>
  </si>
  <si>
    <t>Faktor turun (d)</t>
  </si>
  <si>
    <t>S turun 10%</t>
  </si>
  <si>
    <t>Strike (K)</t>
  </si>
  <si>
    <t>ATM</t>
  </si>
  <si>
    <t>Suku bunga per periode (r)</t>
  </si>
  <si>
    <t>5% per periode</t>
  </si>
  <si>
    <t>BLOK A — BINOMIAL 1 PERIODE (HDN-1 P09)</t>
  </si>
  <si>
    <t>Harga naik Su = S0·u</t>
  </si>
  <si>
    <t>'= 100 × 1,1 = 110</t>
  </si>
  <si>
    <t>Harga turun Sd = S0·d</t>
  </si>
  <si>
    <t>'= 100 × 0,9 = 90</t>
  </si>
  <si>
    <t>Payoff naik Cu = max(Su−K, 0)</t>
  </si>
  <si>
    <t>'= max(110−100, 0) = 10</t>
  </si>
  <si>
    <t>Payoff turun Cd = max(Sd−K, 0)</t>
  </si>
  <si>
    <t>'= max(90−100, 0) = 0</t>
  </si>
  <si>
    <t>Probabilitas risk-neutral q = (1+r−d)/(u−d)</t>
  </si>
  <si>
    <t>'= (1,05−0,9)/(1,1−0,9) = 0,75</t>
  </si>
  <si>
    <t>Expected payoff = q·Cu + (1−q)·Cd</t>
  </si>
  <si>
    <t>'= 0,75 × 10 + 0,25 × 0 = 7,5</t>
  </si>
  <si>
    <t>HARGA CALL C0 = expected / (1+r)</t>
  </si>
  <si>
    <t>'= 7,5 / 1,05 ≈ 7,14</t>
  </si>
  <si>
    <t>Δ replikasi = (Cu−Cd)/(Su−Sd)</t>
  </si>
  <si>
    <t>'= 10/20 = 0,5 saham</t>
  </si>
  <si>
    <t>Pinjaman B = (Δ·Su − Cu)/(1+r)</t>
  </si>
  <si>
    <t>obligasi risk-free short</t>
  </si>
  <si>
    <t>Cek replikasi: Δ·S0 − B</t>
  </si>
  <si>
    <t>harus sama dengan C0 (no-arbitrage)</t>
  </si>
  <si>
    <t>BLOK B — BINOMIAL 2 PERIODE / BACKWARD INDUCTION (HDN-2 P09)</t>
  </si>
  <si>
    <t>Suu = S0·u²</t>
  </si>
  <si>
    <t>'= 121</t>
  </si>
  <si>
    <t>Sud = S0·u·d</t>
  </si>
  <si>
    <t>'= 99</t>
  </si>
  <si>
    <t>Sdd = S0·d²</t>
  </si>
  <si>
    <t>'= 81</t>
  </si>
  <si>
    <t>Payoff uu = max(121−K, 0)</t>
  </si>
  <si>
    <t>'= 21 (lainnya 0)</t>
  </si>
  <si>
    <t>Node atas = (q·21 + (1−q)·0)/(1+r)</t>
  </si>
  <si>
    <t>'= 15,75/1,05 = 15</t>
  </si>
  <si>
    <t>Node bawah = (q·0 + (1−q)·0)/(1+r)</t>
  </si>
  <si>
    <t>'= 0</t>
  </si>
  <si>
    <t>HARGA CALL 2-PERIODE C0</t>
  </si>
  <si>
    <t>'= 11,25/1,05 ≈ 10,71</t>
  </si>
  <si>
    <t>INPUT — BLACK-SCHOLES (konteks mini-kasus treasury P09)</t>
  </si>
  <si>
    <t>Harga spot S</t>
  </si>
  <si>
    <t>indeks (ATM)</t>
  </si>
  <si>
    <t>Strike K</t>
  </si>
  <si>
    <t>Risk-free r (SUN/proxy)</t>
  </si>
  <si>
    <t>5% p.a.</t>
  </si>
  <si>
    <t>Maturity T (tahun)</t>
  </si>
  <si>
    <t>1 tahun</t>
  </si>
  <si>
    <t>Volatilitas σ (historis)</t>
  </si>
  <si>
    <t>18% p.a. — input tak teramati</t>
  </si>
  <si>
    <t>BLOK C — BLACK-SCHOLES LANGKAH DEMI LANGKAH</t>
  </si>
  <si>
    <t>ln(S/K)</t>
  </si>
  <si>
    <t>logaritma natural rasio</t>
  </si>
  <si>
    <t>σ²/2</t>
  </si>
  <si>
    <t>istilah Itô</t>
  </si>
  <si>
    <t>(r + σ²/2)·T</t>
  </si>
  <si>
    <t>drift risk-neutral</t>
  </si>
  <si>
    <t>σ·√T</t>
  </si>
  <si>
    <t>vol total tenor</t>
  </si>
  <si>
    <t>d1 = [ln(S/K) + (r+σ²/2)T] / (σ√T)</t>
  </si>
  <si>
    <t>≈ 0,3678</t>
  </si>
  <si>
    <t>d2 = d1 − σ√T</t>
  </si>
  <si>
    <t>≈ 0,1878</t>
  </si>
  <si>
    <t>N(d1) = NORM.S.DIST(d1, TRUE)</t>
  </si>
  <si>
    <t>≈ 0,6434 — delta call</t>
  </si>
  <si>
    <t>N(d2) = NORM.S.DIST(d2, TRUE)</t>
  </si>
  <si>
    <t>≈ 0,5745 — prob. ITM risk-neutral</t>
  </si>
  <si>
    <t>Diskonto e^(−rT)</t>
  </si>
  <si>
    <t>≈ 0,9512</t>
  </si>
  <si>
    <t>Suku 1: S·N(d1)</t>
  </si>
  <si>
    <t>≈ 64,34</t>
  </si>
  <si>
    <t>Suku 2: K·e^(−rT)·N(d2)</t>
  </si>
  <si>
    <t>≈ 54,65</t>
  </si>
  <si>
    <t>HARGA CALL C = S·N(d1) − K·e^(−rT)·N(d2)</t>
  </si>
  <si>
    <t>≈ 9,69 (σ 18%)</t>
  </si>
  <si>
    <t>Harga put P (paritas: C − S + K·e^(−rT))</t>
  </si>
  <si>
    <t>≈ 5,04</t>
  </si>
  <si>
    <t>BLOK D — PREDIKSI MACHINE LEARNING (PROXY REGRESI LINIER)</t>
  </si>
  <si>
    <t>σ pasar</t>
  </si>
  <si>
    <t>Premi pasar (data latih)</t>
  </si>
  <si>
    <t>Prediksi ML</t>
  </si>
  <si>
    <t>Error</t>
  </si>
  <si>
    <t>Slope ML (=SLOPE(premi, σ))</t>
  </si>
  <si>
    <t>kemiringan regresi (proxy model ML)</t>
  </si>
  <si>
    <t>Intercept ML (=INTERCEPT(...))</t>
  </si>
  <si>
    <t>konstanta model</t>
  </si>
  <si>
    <t>Prediksi ML pada σ historis 18%</t>
  </si>
  <si>
    <t>vs Black-Scholes Blok C</t>
  </si>
  <si>
    <t>σ implied (mini-kasus P09)</t>
  </si>
  <si>
    <t>22% vs historis 18% — bank charge premium vol</t>
  </si>
  <si>
    <t>Prediksi ML pada σ implied 22%</t>
  </si>
  <si>
    <t>vs BS dengan σ 22%</t>
  </si>
  <si>
    <t>Black-Scholes dengan σ 22% (cepat)</t>
  </si>
  <si>
    <t>≈ 11,20</t>
  </si>
  <si>
    <t>Error ML vs BS pada σ 22%</t>
  </si>
  <si>
    <t>kecil in-sample — tren linear cukup di rentang data</t>
  </si>
  <si>
    <t>Quote bank (mini-kasus P09)</t>
  </si>
  <si>
    <t>premi ~1,8% notional (opsi FX OTM — basis beda)</t>
  </si>
  <si>
    <t>Implied vs historis</t>
  </si>
  <si>
    <t>+4 pp → negotiating leverage treasury (bandar wajar 1,5–2%)</t>
  </si>
  <si>
    <t>BLOK E — LATIHAN INDIVIDU (deck P09)</t>
  </si>
  <si>
    <t>S0 latihan</t>
  </si>
  <si>
    <t>deck: 50</t>
  </si>
  <si>
    <t>u latihan</t>
  </si>
  <si>
    <t>deck: 1,2</t>
  </si>
  <si>
    <t>d latihan</t>
  </si>
  <si>
    <t>deck: 0,8</t>
  </si>
  <si>
    <t>K latihan</t>
  </si>
  <si>
    <t>deck: 55</t>
  </si>
  <si>
    <t>r latihan</t>
  </si>
  <si>
    <t>deck: 4%</t>
  </si>
  <si>
    <t>q = (1+r−d)/(u−d)</t>
  </si>
  <si>
    <t>'= 0,6</t>
  </si>
  <si>
    <t>Cu = max(S0·u − K, 0)</t>
  </si>
  <si>
    <t>'= max(60−55, 0) = 5</t>
  </si>
  <si>
    <t>Cd = max(S0·d − K, 0)</t>
  </si>
  <si>
    <t>C0 latihan</t>
  </si>
  <si>
    <t>≈ 2,89 — verifikasi juga via replikasi</t>
  </si>
  <si>
    <t>Rumus: q=(1+r−d)/(u−d); C0=e-ish diskonto diskret (1+r) sesuai deck; BS = limit kontinu binomial.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</si>
</sst>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%"/>
  </numFmts>
  <fonts count="7" x14ac:knownFonts="1">
    <font>
      <sz val="11"/>
      <color theme="1"/>
      <name val="Calibri"/>
      <family val="2"/>
      <scheme val="minor"/>
    </font>
    <font>
      <b/>
      <sz val="14"/>
      <color rgb="FF1F4E79"/>
      <name val="Calibri"/>
    </font>
    <font>
      <b/>
      <sz val="11"/>
      <color rgb="FFFFFFFF"/>
      <name val="Calibri"/>
    </font>
    <font>
      <i/>
      <sz val="10"/>
      <color rgb="FF555555"/>
      <name val="Calibri"/>
    </font>
    <font>
      <sz val="11"/>
      <name val="Calibri"/>
    </font>
    <font>
      <b/>
      <sz val="11"/>
      <name val="Calibri"/>
    </font>
    <font>
      <sz val="11"/>
      <color rgb="FF1F4E7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5F5F5"/>
      </patternFill>
    </fill>
    <fill>
      <patternFill patternType="solid">
        <fgColor rgb="FFFFF59D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3" fontId="6" fillId="5" borderId="1" xfId="0" applyNumberFormat="1" applyFont="1" applyFill="1" applyBorder="1" applyAlignment="1">
      <alignment horizontal="right" vertical="center"/>
    </xf>
    <xf numFmtId="4" fontId="6" fillId="5" borderId="1" xfId="0" applyNumberFormat="1" applyFont="1" applyFill="1" applyBorder="1" applyAlignment="1">
      <alignment horizontal="right" vertical="center"/>
    </xf>
    <xf numFmtId="10" fontId="6" fillId="5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165" fontId="6" fillId="5" borderId="1" xfId="0" applyNumberFormat="1" applyFont="1" applyFill="1" applyBorder="1" applyAlignment="1">
      <alignment horizontal="right" vertical="center"/>
    </xf>
    <xf numFmtId="10" fontId="5" fillId="3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7"/>
  <sheetViews>
    <sheetView showGridLines="0" tabSelected="1" workbookViewId="0"/>
  </sheetViews>
  <sheetFormatPr defaultRowHeight="15" x14ac:dyDescent="0.25"/>
  <cols>
    <col min="1" max="1" width="3" customWidth="1"/>
    <col min="2" max="2" width="26" customWidth="1"/>
    <col min="3" max="3" width="86" customWidth="1"/>
  </cols>
  <sheetData>
    <row r="2" spans="2:3" ht="30" customHeight="1" x14ac:dyDescent="0.25">
      <c r="B2" s="19" t="s">
        <v>0</v>
      </c>
      <c r="C2" s="17"/>
    </row>
    <row r="3" spans="2:3" x14ac:dyDescent="0.25">
      <c r="B3" s="18" t="s">
        <v>1</v>
      </c>
      <c r="C3" s="17"/>
    </row>
    <row r="5" spans="2:3" x14ac:dyDescent="0.25">
      <c r="B5" s="1" t="s">
        <v>2</v>
      </c>
      <c r="C5" s="2" t="s">
        <v>3</v>
      </c>
    </row>
    <row r="7" spans="2:3" x14ac:dyDescent="0.25">
      <c r="B7" s="1" t="s">
        <v>4</v>
      </c>
      <c r="C7" s="2" t="s">
        <v>5</v>
      </c>
    </row>
    <row r="8" spans="2:3" ht="30" x14ac:dyDescent="0.25">
      <c r="B8" s="3" t="s">
        <v>6</v>
      </c>
      <c r="C8" s="2" t="s">
        <v>7</v>
      </c>
    </row>
    <row r="9" spans="2:3" ht="30" x14ac:dyDescent="0.25">
      <c r="B9" s="3" t="s">
        <v>8</v>
      </c>
      <c r="C9" s="2" t="s">
        <v>9</v>
      </c>
    </row>
    <row r="10" spans="2:3" x14ac:dyDescent="0.25">
      <c r="B10" s="3" t="s">
        <v>10</v>
      </c>
      <c r="C10" s="2" t="s">
        <v>11</v>
      </c>
    </row>
    <row r="11" spans="2:3" x14ac:dyDescent="0.25">
      <c r="B11" s="3" t="s">
        <v>12</v>
      </c>
      <c r="C11" s="2" t="s">
        <v>13</v>
      </c>
    </row>
    <row r="12" spans="2:3" x14ac:dyDescent="0.25">
      <c r="B12" s="3" t="s">
        <v>14</v>
      </c>
      <c r="C12" s="2" t="s">
        <v>15</v>
      </c>
    </row>
    <row r="14" spans="2:3" ht="30" x14ac:dyDescent="0.25">
      <c r="B14" s="1" t="s">
        <v>16</v>
      </c>
      <c r="C14" s="2" t="s">
        <v>17</v>
      </c>
    </row>
    <row r="15" spans="2:3" x14ac:dyDescent="0.25">
      <c r="B15" s="4" t="s">
        <v>18</v>
      </c>
      <c r="C15" s="5" t="s">
        <v>19</v>
      </c>
    </row>
    <row r="16" spans="2:3" x14ac:dyDescent="0.25">
      <c r="B16" s="4" t="s">
        <v>18</v>
      </c>
      <c r="C16" s="5" t="s">
        <v>20</v>
      </c>
    </row>
    <row r="17" spans="2:3" x14ac:dyDescent="0.25">
      <c r="B17" s="4" t="s">
        <v>18</v>
      </c>
      <c r="C17" s="5" t="s">
        <v>21</v>
      </c>
    </row>
    <row r="18" spans="2:3" ht="30" x14ac:dyDescent="0.25">
      <c r="B18" s="4" t="s">
        <v>18</v>
      </c>
      <c r="C18" s="5" t="s">
        <v>22</v>
      </c>
    </row>
    <row r="19" spans="2:3" ht="30" x14ac:dyDescent="0.25">
      <c r="B19" s="4" t="s">
        <v>18</v>
      </c>
      <c r="C19" s="5" t="s">
        <v>23</v>
      </c>
    </row>
    <row r="21" spans="2:3" x14ac:dyDescent="0.25">
      <c r="B21" s="1" t="s">
        <v>24</v>
      </c>
      <c r="C21" s="2" t="s">
        <v>25</v>
      </c>
    </row>
    <row r="22" spans="2:3" x14ac:dyDescent="0.25">
      <c r="B22" s="6" t="s">
        <v>26</v>
      </c>
      <c r="C22" s="2" t="s">
        <v>27</v>
      </c>
    </row>
    <row r="23" spans="2:3" x14ac:dyDescent="0.25">
      <c r="B23" s="2" t="s">
        <v>28</v>
      </c>
      <c r="C23" s="2" t="s">
        <v>29</v>
      </c>
    </row>
    <row r="24" spans="2:3" x14ac:dyDescent="0.25">
      <c r="B24" s="7" t="s">
        <v>30</v>
      </c>
      <c r="C24" s="2" t="s">
        <v>31</v>
      </c>
    </row>
    <row r="26" spans="2:3" x14ac:dyDescent="0.25">
      <c r="B26" s="16" t="s">
        <v>32</v>
      </c>
      <c r="C26" s="17"/>
    </row>
    <row r="27" spans="2:3" x14ac:dyDescent="0.25">
      <c r="B27" s="16" t="s">
        <v>33</v>
      </c>
      <c r="C27" s="17"/>
    </row>
  </sheetData>
  <mergeCells count="4">
    <mergeCell ref="B27:C27"/>
    <mergeCell ref="B3:C3"/>
    <mergeCell ref="B2:C2"/>
    <mergeCell ref="B26:C2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G84"/>
  <sheetViews>
    <sheetView showGridLines="0" workbookViewId="0"/>
  </sheetViews>
  <sheetFormatPr defaultRowHeight="15" x14ac:dyDescent="0.25"/>
  <cols>
    <col min="1" max="1" width="3" customWidth="1"/>
    <col min="2" max="2" width="36" customWidth="1"/>
    <col min="3" max="4" width="16" customWidth="1"/>
    <col min="5" max="6" width="14" customWidth="1"/>
    <col min="7" max="7" width="44" customWidth="1"/>
  </cols>
  <sheetData>
    <row r="4" spans="2:7" ht="26.1" customHeight="1" x14ac:dyDescent="0.25">
      <c r="B4" s="22" t="s">
        <v>34</v>
      </c>
      <c r="C4" s="17"/>
      <c r="D4" s="17"/>
      <c r="E4" s="17"/>
      <c r="F4" s="17"/>
      <c r="G4" s="17"/>
    </row>
    <row r="5" spans="2:7" x14ac:dyDescent="0.25">
      <c r="B5" s="18" t="s">
        <v>35</v>
      </c>
      <c r="C5" s="17"/>
      <c r="D5" s="17"/>
      <c r="E5" s="17"/>
      <c r="F5" s="17"/>
      <c r="G5" s="17"/>
    </row>
    <row r="7" spans="2:7" ht="20.100000000000001" customHeight="1" x14ac:dyDescent="0.25">
      <c r="B7" s="21" t="s">
        <v>36</v>
      </c>
      <c r="C7" s="17"/>
      <c r="D7" s="17"/>
      <c r="E7" s="17"/>
      <c r="F7" s="17"/>
      <c r="G7" s="17"/>
    </row>
    <row r="8" spans="2:7" x14ac:dyDescent="0.25">
      <c r="B8" s="2" t="s">
        <v>37</v>
      </c>
      <c r="C8" s="8">
        <v>100</v>
      </c>
      <c r="D8" s="20" t="s">
        <v>38</v>
      </c>
      <c r="E8" s="17"/>
      <c r="F8" s="17"/>
      <c r="G8" s="17"/>
    </row>
    <row r="9" spans="2:7" x14ac:dyDescent="0.25">
      <c r="B9" s="2" t="s">
        <v>39</v>
      </c>
      <c r="C9" s="9">
        <v>1.1000000000000001</v>
      </c>
      <c r="D9" s="20" t="s">
        <v>40</v>
      </c>
      <c r="E9" s="17"/>
      <c r="F9" s="17"/>
      <c r="G9" s="17"/>
    </row>
    <row r="10" spans="2:7" x14ac:dyDescent="0.25">
      <c r="B10" s="2" t="s">
        <v>41</v>
      </c>
      <c r="C10" s="9">
        <v>0.9</v>
      </c>
      <c r="D10" s="20" t="s">
        <v>42</v>
      </c>
      <c r="E10" s="17"/>
      <c r="F10" s="17"/>
      <c r="G10" s="17"/>
    </row>
    <row r="11" spans="2:7" x14ac:dyDescent="0.25">
      <c r="B11" s="2" t="s">
        <v>43</v>
      </c>
      <c r="C11" s="8">
        <v>100</v>
      </c>
      <c r="D11" s="20" t="s">
        <v>44</v>
      </c>
      <c r="E11" s="17"/>
      <c r="F11" s="17"/>
      <c r="G11" s="17"/>
    </row>
    <row r="12" spans="2:7" x14ac:dyDescent="0.25">
      <c r="B12" s="2" t="s">
        <v>45</v>
      </c>
      <c r="C12" s="10">
        <v>0.05</v>
      </c>
      <c r="D12" s="20" t="s">
        <v>46</v>
      </c>
      <c r="E12" s="17"/>
      <c r="F12" s="17"/>
      <c r="G12" s="17"/>
    </row>
    <row r="14" spans="2:7" ht="20.100000000000001" customHeight="1" x14ac:dyDescent="0.25">
      <c r="B14" s="21" t="s">
        <v>47</v>
      </c>
      <c r="C14" s="17"/>
      <c r="D14" s="17"/>
      <c r="E14" s="17"/>
      <c r="F14" s="17"/>
      <c r="G14" s="17"/>
    </row>
    <row r="15" spans="2:7" x14ac:dyDescent="0.25">
      <c r="B15" s="2" t="s">
        <v>48</v>
      </c>
      <c r="C15" s="11">
        <f>C8*C9</f>
        <v>110.00000000000001</v>
      </c>
      <c r="D15" s="20" t="s">
        <v>49</v>
      </c>
      <c r="E15" s="17"/>
      <c r="F15" s="17"/>
      <c r="G15" s="17"/>
    </row>
    <row r="16" spans="2:7" x14ac:dyDescent="0.25">
      <c r="B16" s="2" t="s">
        <v>50</v>
      </c>
      <c r="C16" s="11">
        <f>C8*C10</f>
        <v>90</v>
      </c>
      <c r="D16" s="20" t="s">
        <v>51</v>
      </c>
      <c r="E16" s="17"/>
      <c r="F16" s="17"/>
      <c r="G16" s="17"/>
    </row>
    <row r="17" spans="2:7" x14ac:dyDescent="0.25">
      <c r="B17" s="2" t="s">
        <v>52</v>
      </c>
      <c r="C17" s="11">
        <f>MAX(C15-C11,0)</f>
        <v>10.000000000000014</v>
      </c>
      <c r="D17" s="20" t="s">
        <v>53</v>
      </c>
      <c r="E17" s="17"/>
      <c r="F17" s="17"/>
      <c r="G17" s="17"/>
    </row>
    <row r="18" spans="2:7" x14ac:dyDescent="0.25">
      <c r="B18" s="2" t="s">
        <v>54</v>
      </c>
      <c r="C18" s="11">
        <f>MAX(C16-C11,0)</f>
        <v>0</v>
      </c>
      <c r="D18" s="20" t="s">
        <v>55</v>
      </c>
      <c r="E18" s="17"/>
      <c r="F18" s="17"/>
      <c r="G18" s="17"/>
    </row>
    <row r="19" spans="2:7" ht="30" x14ac:dyDescent="0.25">
      <c r="B19" s="2" t="s">
        <v>56</v>
      </c>
      <c r="C19" s="12">
        <f>(1+C12-C10)/(C9-C10)</f>
        <v>0.74999999999999989</v>
      </c>
      <c r="D19" s="20" t="s">
        <v>57</v>
      </c>
      <c r="E19" s="17"/>
      <c r="F19" s="17"/>
      <c r="G19" s="17"/>
    </row>
    <row r="20" spans="2:7" x14ac:dyDescent="0.25">
      <c r="B20" s="2" t="s">
        <v>58</v>
      </c>
      <c r="C20" s="11">
        <f>C19*C17+(1-C19)*C18</f>
        <v>7.5000000000000098</v>
      </c>
      <c r="D20" s="20" t="s">
        <v>59</v>
      </c>
      <c r="E20" s="17"/>
      <c r="F20" s="17"/>
      <c r="G20" s="17"/>
    </row>
    <row r="21" spans="2:7" x14ac:dyDescent="0.25">
      <c r="B21" s="2" t="s">
        <v>60</v>
      </c>
      <c r="C21" s="12">
        <f>C20/(1+C12)</f>
        <v>7.1428571428571521</v>
      </c>
      <c r="D21" s="20" t="s">
        <v>61</v>
      </c>
      <c r="E21" s="17"/>
      <c r="F21" s="17"/>
      <c r="G21" s="17"/>
    </row>
    <row r="22" spans="2:7" x14ac:dyDescent="0.25">
      <c r="B22" s="2" t="s">
        <v>62</v>
      </c>
      <c r="C22" s="13">
        <f>(C17-C18)/(C15-C16)</f>
        <v>0.50000000000000033</v>
      </c>
      <c r="D22" s="20" t="s">
        <v>63</v>
      </c>
      <c r="E22" s="17"/>
      <c r="F22" s="17"/>
      <c r="G22" s="17"/>
    </row>
    <row r="23" spans="2:7" x14ac:dyDescent="0.25">
      <c r="B23" s="2" t="s">
        <v>64</v>
      </c>
      <c r="C23" s="11">
        <f>(C22*C15-C17)/(1+C12)</f>
        <v>42.857142857142883</v>
      </c>
      <c r="D23" s="20" t="s">
        <v>65</v>
      </c>
      <c r="E23" s="17"/>
      <c r="F23" s="17"/>
      <c r="G23" s="17"/>
    </row>
    <row r="24" spans="2:7" x14ac:dyDescent="0.25">
      <c r="B24" s="2" t="s">
        <v>66</v>
      </c>
      <c r="C24" s="12">
        <f>C22*C8-C23</f>
        <v>7.142857142857153</v>
      </c>
      <c r="D24" s="20" t="s">
        <v>67</v>
      </c>
      <c r="E24" s="17"/>
      <c r="F24" s="17"/>
      <c r="G24" s="17"/>
    </row>
    <row r="26" spans="2:7" ht="20.100000000000001" customHeight="1" x14ac:dyDescent="0.25">
      <c r="B26" s="21" t="s">
        <v>68</v>
      </c>
      <c r="C26" s="17"/>
      <c r="D26" s="17"/>
      <c r="E26" s="17"/>
      <c r="F26" s="17"/>
      <c r="G26" s="17"/>
    </row>
    <row r="27" spans="2:7" x14ac:dyDescent="0.25">
      <c r="B27" s="2" t="s">
        <v>69</v>
      </c>
      <c r="C27" s="11">
        <f>C8*C9^2</f>
        <v>121.00000000000001</v>
      </c>
      <c r="D27" s="20" t="s">
        <v>70</v>
      </c>
      <c r="E27" s="17"/>
      <c r="F27" s="17"/>
      <c r="G27" s="17"/>
    </row>
    <row r="28" spans="2:7" x14ac:dyDescent="0.25">
      <c r="B28" s="2" t="s">
        <v>71</v>
      </c>
      <c r="C28" s="11">
        <f>C8*C9*C10</f>
        <v>99.000000000000014</v>
      </c>
      <c r="D28" s="20" t="s">
        <v>72</v>
      </c>
      <c r="E28" s="17"/>
      <c r="F28" s="17"/>
      <c r="G28" s="17"/>
    </row>
    <row r="29" spans="2:7" x14ac:dyDescent="0.25">
      <c r="B29" s="2" t="s">
        <v>73</v>
      </c>
      <c r="C29" s="11">
        <f>C8*C10^2</f>
        <v>81</v>
      </c>
      <c r="D29" s="20" t="s">
        <v>74</v>
      </c>
      <c r="E29" s="17"/>
      <c r="F29" s="17"/>
      <c r="G29" s="17"/>
    </row>
    <row r="30" spans="2:7" x14ac:dyDescent="0.25">
      <c r="B30" s="2" t="s">
        <v>75</v>
      </c>
      <c r="C30" s="11">
        <f>MAX(C27-C11,0)</f>
        <v>21.000000000000014</v>
      </c>
      <c r="D30" s="20" t="s">
        <v>76</v>
      </c>
      <c r="E30" s="17"/>
      <c r="F30" s="17"/>
      <c r="G30" s="17"/>
    </row>
    <row r="31" spans="2:7" x14ac:dyDescent="0.25">
      <c r="B31" s="2" t="s">
        <v>77</v>
      </c>
      <c r="C31" s="11">
        <f>(C19*C30)/(1+C12)</f>
        <v>15.000000000000007</v>
      </c>
      <c r="D31" s="20" t="s">
        <v>78</v>
      </c>
      <c r="E31" s="17"/>
      <c r="F31" s="17"/>
      <c r="G31" s="17"/>
    </row>
    <row r="32" spans="2:7" x14ac:dyDescent="0.25">
      <c r="B32" s="2" t="s">
        <v>79</v>
      </c>
      <c r="C32" s="11">
        <f>(C19*MAX(C28-C11,0)+(1-C19)*MAX(C29-C11,0))/(1+C12)</f>
        <v>0</v>
      </c>
      <c r="D32" s="20" t="s">
        <v>80</v>
      </c>
      <c r="E32" s="17"/>
      <c r="F32" s="17"/>
      <c r="G32" s="17"/>
    </row>
    <row r="33" spans="2:7" x14ac:dyDescent="0.25">
      <c r="B33" s="2" t="s">
        <v>81</v>
      </c>
      <c r="C33" s="12">
        <f>(C19*C31+(1-C19)*C32)/(1+C12)</f>
        <v>10.714285714285717</v>
      </c>
      <c r="D33" s="20" t="s">
        <v>82</v>
      </c>
      <c r="E33" s="17"/>
      <c r="F33" s="17"/>
      <c r="G33" s="17"/>
    </row>
    <row r="35" spans="2:7" ht="20.100000000000001" customHeight="1" x14ac:dyDescent="0.25">
      <c r="B35" s="21" t="s">
        <v>83</v>
      </c>
      <c r="C35" s="17"/>
      <c r="D35" s="17"/>
      <c r="E35" s="17"/>
      <c r="F35" s="17"/>
      <c r="G35" s="17"/>
    </row>
    <row r="36" spans="2:7" x14ac:dyDescent="0.25">
      <c r="B36" s="2" t="s">
        <v>84</v>
      </c>
      <c r="C36" s="8">
        <v>100</v>
      </c>
      <c r="D36" s="20" t="s">
        <v>85</v>
      </c>
      <c r="E36" s="17"/>
      <c r="F36" s="17"/>
      <c r="G36" s="17"/>
    </row>
    <row r="37" spans="2:7" x14ac:dyDescent="0.25">
      <c r="B37" s="2" t="s">
        <v>86</v>
      </c>
      <c r="C37" s="8">
        <v>100</v>
      </c>
      <c r="D37" s="20" t="s">
        <v>44</v>
      </c>
      <c r="E37" s="17"/>
      <c r="F37" s="17"/>
      <c r="G37" s="17"/>
    </row>
    <row r="38" spans="2:7" x14ac:dyDescent="0.25">
      <c r="B38" s="2" t="s">
        <v>87</v>
      </c>
      <c r="C38" s="10">
        <v>0.05</v>
      </c>
      <c r="D38" s="20" t="s">
        <v>88</v>
      </c>
      <c r="E38" s="17"/>
      <c r="F38" s="17"/>
      <c r="G38" s="17"/>
    </row>
    <row r="39" spans="2:7" x14ac:dyDescent="0.25">
      <c r="B39" s="2" t="s">
        <v>89</v>
      </c>
      <c r="C39" s="9">
        <v>1</v>
      </c>
      <c r="D39" s="20" t="s">
        <v>90</v>
      </c>
      <c r="E39" s="17"/>
      <c r="F39" s="17"/>
      <c r="G39" s="17"/>
    </row>
    <row r="40" spans="2:7" x14ac:dyDescent="0.25">
      <c r="B40" s="2" t="s">
        <v>91</v>
      </c>
      <c r="C40" s="10">
        <v>0.18</v>
      </c>
      <c r="D40" s="20" t="s">
        <v>92</v>
      </c>
      <c r="E40" s="17"/>
      <c r="F40" s="17"/>
      <c r="G40" s="17"/>
    </row>
    <row r="42" spans="2:7" ht="20.100000000000001" customHeight="1" x14ac:dyDescent="0.25">
      <c r="B42" s="21" t="s">
        <v>93</v>
      </c>
      <c r="C42" s="17"/>
      <c r="D42" s="17"/>
      <c r="E42" s="17"/>
      <c r="F42" s="17"/>
      <c r="G42" s="17"/>
    </row>
    <row r="43" spans="2:7" x14ac:dyDescent="0.25">
      <c r="B43" s="2" t="s">
        <v>94</v>
      </c>
      <c r="C43" s="13">
        <f>LN(C36/C37)</f>
        <v>0</v>
      </c>
      <c r="D43" s="20" t="s">
        <v>95</v>
      </c>
      <c r="E43" s="17"/>
      <c r="F43" s="17"/>
      <c r="G43" s="17"/>
    </row>
    <row r="44" spans="2:7" x14ac:dyDescent="0.25">
      <c r="B44" s="2" t="s">
        <v>96</v>
      </c>
      <c r="C44" s="13">
        <f>C40^2/2</f>
        <v>1.6199999999999999E-2</v>
      </c>
      <c r="D44" s="20" t="s">
        <v>97</v>
      </c>
      <c r="E44" s="17"/>
      <c r="F44" s="17"/>
      <c r="G44" s="17"/>
    </row>
    <row r="45" spans="2:7" x14ac:dyDescent="0.25">
      <c r="B45" s="2" t="s">
        <v>98</v>
      </c>
      <c r="C45" s="13">
        <f>(C38+C40^2/2)*C39</f>
        <v>6.6200000000000009E-2</v>
      </c>
      <c r="D45" s="20" t="s">
        <v>99</v>
      </c>
      <c r="E45" s="17"/>
      <c r="F45" s="17"/>
      <c r="G45" s="17"/>
    </row>
    <row r="46" spans="2:7" x14ac:dyDescent="0.25">
      <c r="B46" s="2" t="s">
        <v>100</v>
      </c>
      <c r="C46" s="13">
        <f>C40*SQRT(C39)</f>
        <v>0.18</v>
      </c>
      <c r="D46" s="20" t="s">
        <v>101</v>
      </c>
      <c r="E46" s="17"/>
      <c r="F46" s="17"/>
      <c r="G46" s="17"/>
    </row>
    <row r="47" spans="2:7" x14ac:dyDescent="0.25">
      <c r="B47" s="2" t="s">
        <v>102</v>
      </c>
      <c r="C47" s="12">
        <f>(C43+C45)/C46</f>
        <v>0.36777777777777781</v>
      </c>
      <c r="D47" s="20" t="s">
        <v>103</v>
      </c>
      <c r="E47" s="17"/>
      <c r="F47" s="17"/>
      <c r="G47" s="17"/>
    </row>
    <row r="48" spans="2:7" x14ac:dyDescent="0.25">
      <c r="B48" s="2" t="s">
        <v>104</v>
      </c>
      <c r="C48" s="12">
        <f>C47-C46</f>
        <v>0.18777777777777782</v>
      </c>
      <c r="D48" s="20" t="s">
        <v>105</v>
      </c>
      <c r="E48" s="17"/>
      <c r="F48" s="17"/>
      <c r="G48" s="17"/>
    </row>
    <row r="49" spans="2:7" x14ac:dyDescent="0.25">
      <c r="B49" s="2" t="s">
        <v>106</v>
      </c>
      <c r="C49" s="13">
        <f>_xlfn.NORM.S.DIST(C47,TRUE)</f>
        <v>0.64348052988216042</v>
      </c>
      <c r="D49" s="20" t="s">
        <v>107</v>
      </c>
      <c r="E49" s="17"/>
      <c r="F49" s="17"/>
      <c r="G49" s="17"/>
    </row>
    <row r="50" spans="2:7" x14ac:dyDescent="0.25">
      <c r="B50" s="2" t="s">
        <v>108</v>
      </c>
      <c r="C50" s="13">
        <f>_xlfn.NORM.S.DIST(C48,TRUE)</f>
        <v>0.5744745716795896</v>
      </c>
      <c r="D50" s="20" t="s">
        <v>109</v>
      </c>
      <c r="E50" s="17"/>
      <c r="F50" s="17"/>
      <c r="G50" s="17"/>
    </row>
    <row r="51" spans="2:7" x14ac:dyDescent="0.25">
      <c r="B51" s="2" t="s">
        <v>110</v>
      </c>
      <c r="C51" s="13">
        <f>EXP(-C38*C39)</f>
        <v>0.95122942450071402</v>
      </c>
      <c r="D51" s="20" t="s">
        <v>111</v>
      </c>
      <c r="E51" s="17"/>
      <c r="F51" s="17"/>
      <c r="G51" s="17"/>
    </row>
    <row r="52" spans="2:7" x14ac:dyDescent="0.25">
      <c r="B52" s="2" t="s">
        <v>112</v>
      </c>
      <c r="C52" s="11">
        <f>C36*C49</f>
        <v>64.34805298821604</v>
      </c>
      <c r="D52" s="20" t="s">
        <v>113</v>
      </c>
      <c r="E52" s="17"/>
      <c r="F52" s="17"/>
      <c r="G52" s="17"/>
    </row>
    <row r="53" spans="2:7" x14ac:dyDescent="0.25">
      <c r="B53" s="2" t="s">
        <v>114</v>
      </c>
      <c r="C53" s="11">
        <f>C37*C51*C50</f>
        <v>54.645711620907022</v>
      </c>
      <c r="D53" s="20" t="s">
        <v>115</v>
      </c>
      <c r="E53" s="17"/>
      <c r="F53" s="17"/>
      <c r="G53" s="17"/>
    </row>
    <row r="54" spans="2:7" ht="30" x14ac:dyDescent="0.25">
      <c r="B54" s="2" t="s">
        <v>116</v>
      </c>
      <c r="C54" s="12">
        <f>C52-C53</f>
        <v>9.7023413673090175</v>
      </c>
      <c r="D54" s="20" t="s">
        <v>117</v>
      </c>
      <c r="E54" s="17"/>
      <c r="F54" s="17"/>
      <c r="G54" s="17"/>
    </row>
    <row r="55" spans="2:7" x14ac:dyDescent="0.25">
      <c r="B55" s="2" t="s">
        <v>118</v>
      </c>
      <c r="C55" s="12">
        <f>C54-C36+C37*C51</f>
        <v>4.8252838173804236</v>
      </c>
      <c r="D55" s="20" t="s">
        <v>119</v>
      </c>
      <c r="E55" s="17"/>
      <c r="F55" s="17"/>
      <c r="G55" s="17"/>
    </row>
    <row r="57" spans="2:7" ht="20.100000000000001" customHeight="1" x14ac:dyDescent="0.25">
      <c r="B57" s="21" t="s">
        <v>120</v>
      </c>
      <c r="C57" s="17"/>
      <c r="D57" s="17"/>
      <c r="E57" s="17"/>
      <c r="F57" s="17"/>
      <c r="G57" s="17"/>
    </row>
    <row r="58" spans="2:7" ht="21.95" customHeight="1" x14ac:dyDescent="0.25">
      <c r="B58" s="1" t="s">
        <v>121</v>
      </c>
      <c r="C58" s="1" t="s">
        <v>122</v>
      </c>
      <c r="D58" s="1" t="s">
        <v>123</v>
      </c>
      <c r="E58" s="1" t="s">
        <v>124</v>
      </c>
    </row>
    <row r="59" spans="2:7" x14ac:dyDescent="0.25">
      <c r="B59" s="14">
        <v>0.1</v>
      </c>
      <c r="C59" s="9">
        <v>6.9</v>
      </c>
    </row>
    <row r="60" spans="2:7" x14ac:dyDescent="0.25">
      <c r="B60" s="14">
        <v>0.14000000000000001</v>
      </c>
      <c r="C60" s="9">
        <v>8.15</v>
      </c>
    </row>
    <row r="61" spans="2:7" x14ac:dyDescent="0.25">
      <c r="B61" s="14">
        <v>0.18</v>
      </c>
      <c r="C61" s="9">
        <v>9.6999999999999993</v>
      </c>
    </row>
    <row r="62" spans="2:7" x14ac:dyDescent="0.25">
      <c r="B62" s="14">
        <v>0.22</v>
      </c>
      <c r="C62" s="9">
        <v>11.15</v>
      </c>
    </row>
    <row r="63" spans="2:7" x14ac:dyDescent="0.25">
      <c r="B63" s="14">
        <v>0.26</v>
      </c>
      <c r="C63" s="9">
        <v>12.8</v>
      </c>
    </row>
    <row r="64" spans="2:7" x14ac:dyDescent="0.25">
      <c r="B64" s="2" t="s">
        <v>125</v>
      </c>
      <c r="C64" s="13">
        <f>SLOPE(C59:C63,B59:B63)</f>
        <v>37.000000000000007</v>
      </c>
      <c r="D64" s="20" t="s">
        <v>126</v>
      </c>
      <c r="E64" s="17"/>
      <c r="F64" s="17"/>
      <c r="G64" s="17"/>
    </row>
    <row r="65" spans="2:7" x14ac:dyDescent="0.25">
      <c r="B65" s="2" t="s">
        <v>127</v>
      </c>
      <c r="C65" s="13">
        <f>INTERCEPT(C59:C63,B59:B63)</f>
        <v>3.0799999999999992</v>
      </c>
      <c r="D65" s="20" t="s">
        <v>128</v>
      </c>
      <c r="E65" s="17"/>
      <c r="F65" s="17"/>
      <c r="G65" s="17"/>
    </row>
    <row r="66" spans="2:7" x14ac:dyDescent="0.25">
      <c r="B66" s="2" t="s">
        <v>129</v>
      </c>
      <c r="C66" s="12">
        <f>C65+C64*C40</f>
        <v>9.74</v>
      </c>
      <c r="D66" s="20" t="s">
        <v>130</v>
      </c>
      <c r="E66" s="17"/>
      <c r="F66" s="17"/>
      <c r="G66" s="17"/>
    </row>
    <row r="67" spans="2:7" x14ac:dyDescent="0.25">
      <c r="B67" s="2" t="s">
        <v>131</v>
      </c>
      <c r="C67" s="10">
        <v>0.22</v>
      </c>
      <c r="D67" s="20" t="s">
        <v>132</v>
      </c>
      <c r="E67" s="17"/>
      <c r="F67" s="17"/>
      <c r="G67" s="17"/>
    </row>
    <row r="68" spans="2:7" x14ac:dyDescent="0.25">
      <c r="B68" s="2" t="s">
        <v>133</v>
      </c>
      <c r="C68" s="12">
        <f>C65+C64*C67</f>
        <v>11.220000000000002</v>
      </c>
      <c r="D68" s="20" t="s">
        <v>134</v>
      </c>
      <c r="E68" s="17"/>
      <c r="F68" s="17"/>
      <c r="G68" s="17"/>
    </row>
    <row r="69" spans="2:7" x14ac:dyDescent="0.25">
      <c r="B69" s="2" t="s">
        <v>135</v>
      </c>
      <c r="C69" s="13">
        <f>C36*_xlfn.NORM.S.DIST((LN(C36/C37)+(C38+C67^2/2)*C39)/(C67*SQRT(C39)),TRUE)-C37*EXP(-C38*C39)*_xlfn.NORM.S.DIST((LN(C36/C37)+(C38+C67^2/2)*C39)/(C67*SQRT(C39))-C67*SQRT(C39),TRUE)</f>
        <v>11.2028111919604</v>
      </c>
      <c r="D69" s="20" t="s">
        <v>136</v>
      </c>
      <c r="E69" s="17"/>
      <c r="F69" s="17"/>
      <c r="G69" s="17"/>
    </row>
    <row r="70" spans="2:7" x14ac:dyDescent="0.25">
      <c r="B70" s="2" t="s">
        <v>137</v>
      </c>
      <c r="C70" s="12">
        <f>ABS(C68-C69)</f>
        <v>1.7188808039602321E-2</v>
      </c>
      <c r="D70" s="20" t="s">
        <v>138</v>
      </c>
      <c r="E70" s="17"/>
      <c r="F70" s="17"/>
      <c r="G70" s="17"/>
    </row>
    <row r="71" spans="2:7" x14ac:dyDescent="0.25">
      <c r="B71" s="2" t="s">
        <v>139</v>
      </c>
      <c r="C71" s="10">
        <v>1.7999999999999999E-2</v>
      </c>
      <c r="D71" s="20" t="s">
        <v>140</v>
      </c>
      <c r="E71" s="17"/>
      <c r="F71" s="17"/>
      <c r="G71" s="17"/>
    </row>
    <row r="72" spans="2:7" x14ac:dyDescent="0.25">
      <c r="B72" s="2" t="s">
        <v>141</v>
      </c>
      <c r="C72" s="15">
        <f>C67-C40</f>
        <v>4.0000000000000008E-2</v>
      </c>
      <c r="D72" s="20" t="s">
        <v>142</v>
      </c>
      <c r="E72" s="17"/>
      <c r="F72" s="17"/>
      <c r="G72" s="17"/>
    </row>
    <row r="74" spans="2:7" ht="20.100000000000001" customHeight="1" x14ac:dyDescent="0.25">
      <c r="B74" s="21" t="s">
        <v>143</v>
      </c>
      <c r="C74" s="17"/>
      <c r="D74" s="17"/>
      <c r="E74" s="17"/>
      <c r="F74" s="17"/>
      <c r="G74" s="17"/>
    </row>
    <row r="75" spans="2:7" x14ac:dyDescent="0.25">
      <c r="B75" s="2" t="s">
        <v>144</v>
      </c>
      <c r="C75" s="8">
        <v>50</v>
      </c>
      <c r="D75" s="20" t="s">
        <v>145</v>
      </c>
      <c r="E75" s="17"/>
      <c r="F75" s="17"/>
      <c r="G75" s="17"/>
    </row>
    <row r="76" spans="2:7" x14ac:dyDescent="0.25">
      <c r="B76" s="2" t="s">
        <v>146</v>
      </c>
      <c r="C76" s="9">
        <v>1.2</v>
      </c>
      <c r="D76" s="20" t="s">
        <v>147</v>
      </c>
      <c r="E76" s="17"/>
      <c r="F76" s="17"/>
      <c r="G76" s="17"/>
    </row>
    <row r="77" spans="2:7" x14ac:dyDescent="0.25">
      <c r="B77" s="2" t="s">
        <v>148</v>
      </c>
      <c r="C77" s="9">
        <v>0.8</v>
      </c>
      <c r="D77" s="20" t="s">
        <v>149</v>
      </c>
      <c r="E77" s="17"/>
      <c r="F77" s="17"/>
      <c r="G77" s="17"/>
    </row>
    <row r="78" spans="2:7" x14ac:dyDescent="0.25">
      <c r="B78" s="2" t="s">
        <v>150</v>
      </c>
      <c r="C78" s="8">
        <v>55</v>
      </c>
      <c r="D78" s="20" t="s">
        <v>151</v>
      </c>
      <c r="E78" s="17"/>
      <c r="F78" s="17"/>
      <c r="G78" s="17"/>
    </row>
    <row r="79" spans="2:7" x14ac:dyDescent="0.25">
      <c r="B79" s="2" t="s">
        <v>152</v>
      </c>
      <c r="C79" s="10">
        <v>0.04</v>
      </c>
      <c r="D79" s="20" t="s">
        <v>153</v>
      </c>
      <c r="E79" s="17"/>
      <c r="F79" s="17"/>
      <c r="G79" s="17"/>
    </row>
    <row r="80" spans="2:7" x14ac:dyDescent="0.25">
      <c r="B80" s="2" t="s">
        <v>154</v>
      </c>
      <c r="C80" s="13">
        <f>(1+C79-C77)/(C76-C77)</f>
        <v>0.60000000000000009</v>
      </c>
      <c r="D80" s="20" t="s">
        <v>155</v>
      </c>
      <c r="E80" s="17"/>
      <c r="F80" s="17"/>
      <c r="G80" s="17"/>
    </row>
    <row r="81" spans="2:7" x14ac:dyDescent="0.25">
      <c r="B81" s="2" t="s">
        <v>156</v>
      </c>
      <c r="C81" s="11">
        <f>MAX(C75*C76-C78,0)</f>
        <v>5</v>
      </c>
      <c r="D81" s="20" t="s">
        <v>157</v>
      </c>
      <c r="E81" s="17"/>
      <c r="F81" s="17"/>
      <c r="G81" s="17"/>
    </row>
    <row r="82" spans="2:7" x14ac:dyDescent="0.25">
      <c r="B82" s="2" t="s">
        <v>158</v>
      </c>
      <c r="C82" s="11">
        <f>MAX(C75*C77-C78,0)</f>
        <v>0</v>
      </c>
      <c r="D82" s="20" t="s">
        <v>80</v>
      </c>
      <c r="E82" s="17"/>
      <c r="F82" s="17"/>
      <c r="G82" s="17"/>
    </row>
    <row r="83" spans="2:7" x14ac:dyDescent="0.25">
      <c r="B83" s="2" t="s">
        <v>159</v>
      </c>
      <c r="C83" s="12">
        <f>(C80*C81+(1-C80)*C82)/(1+C79)</f>
        <v>2.884615384615385</v>
      </c>
      <c r="D83" s="20" t="s">
        <v>160</v>
      </c>
      <c r="E83" s="17"/>
      <c r="F83" s="17"/>
      <c r="G83" s="17"/>
    </row>
    <row r="84" spans="2:7" x14ac:dyDescent="0.25">
      <c r="B84" s="16" t="s">
        <v>161</v>
      </c>
      <c r="C84" s="17"/>
      <c r="D84" s="17"/>
      <c r="E84" s="17"/>
      <c r="F84" s="17"/>
      <c r="G84" s="17"/>
    </row>
  </sheetData>
  <mergeCells count="68">
    <mergeCell ref="B4:G4"/>
    <mergeCell ref="B35:G35"/>
    <mergeCell ref="B26:G26"/>
    <mergeCell ref="D11:G11"/>
    <mergeCell ref="D49:G49"/>
    <mergeCell ref="D27:G27"/>
    <mergeCell ref="B7:G7"/>
    <mergeCell ref="D32:G32"/>
    <mergeCell ref="D48:G48"/>
    <mergeCell ref="D17:G17"/>
    <mergeCell ref="D47:G47"/>
    <mergeCell ref="D16:G16"/>
    <mergeCell ref="D43:G43"/>
    <mergeCell ref="D37:G37"/>
    <mergeCell ref="D28:G28"/>
    <mergeCell ref="B5:G5"/>
    <mergeCell ref="D36:G36"/>
    <mergeCell ref="D77:G77"/>
    <mergeCell ref="D52:G52"/>
    <mergeCell ref="D21:G21"/>
    <mergeCell ref="D76:G76"/>
    <mergeCell ref="D70:G70"/>
    <mergeCell ref="D75:G75"/>
    <mergeCell ref="D53:G53"/>
    <mergeCell ref="D66:G66"/>
    <mergeCell ref="D72:G72"/>
    <mergeCell ref="B84:G84"/>
    <mergeCell ref="D19:G19"/>
    <mergeCell ref="B74:G74"/>
    <mergeCell ref="D10:G10"/>
    <mergeCell ref="D81:G81"/>
    <mergeCell ref="D46:G46"/>
    <mergeCell ref="D22:G22"/>
    <mergeCell ref="D40:G40"/>
    <mergeCell ref="D80:G80"/>
    <mergeCell ref="D31:G31"/>
    <mergeCell ref="D65:G65"/>
    <mergeCell ref="D45:G45"/>
    <mergeCell ref="D78:G78"/>
    <mergeCell ref="D79:G79"/>
    <mergeCell ref="D50:G50"/>
    <mergeCell ref="D69:G69"/>
    <mergeCell ref="D20:G20"/>
    <mergeCell ref="D44:G44"/>
    <mergeCell ref="D8:G8"/>
    <mergeCell ref="D39:G39"/>
    <mergeCell ref="D83:G83"/>
    <mergeCell ref="B57:G57"/>
    <mergeCell ref="D24:G24"/>
    <mergeCell ref="D30:G30"/>
    <mergeCell ref="D64:G64"/>
    <mergeCell ref="D15:G15"/>
    <mergeCell ref="D33:G33"/>
    <mergeCell ref="D68:G68"/>
    <mergeCell ref="D29:G29"/>
    <mergeCell ref="D55:G55"/>
    <mergeCell ref="D51:G51"/>
    <mergeCell ref="D67:G67"/>
    <mergeCell ref="D38:G38"/>
    <mergeCell ref="D82:G82"/>
    <mergeCell ref="D18:G18"/>
    <mergeCell ref="D71:G71"/>
    <mergeCell ref="D9:G9"/>
    <mergeCell ref="B42:G42"/>
    <mergeCell ref="D12:G12"/>
    <mergeCell ref="B14:G14"/>
    <mergeCell ref="D23:G23"/>
    <mergeCell ref="D54:G5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2026-08-14T17:20:38Z</dcterms:created>
  <dcterms:modified xsi:type="dcterms:W3CDTF">2026-08-14T17:20:39Z</dcterms:modified>
</cp:coreProperties>
</file>